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I:\Jadu website documents\Planning\Planning services\Nutrients and phosphates\"/>
    </mc:Choice>
  </mc:AlternateContent>
  <bookViews>
    <workbookView xWindow="-26270" yWindow="-1500" windowWidth="20490" windowHeight="14760"/>
  </bookViews>
  <sheets>
    <sheet name="Intro" sheetId="6" r:id="rId1"/>
    <sheet name="Background" sheetId="16" r:id="rId2"/>
    <sheet name="River Clun SAC" sheetId="15" r:id="rId3"/>
    <sheet name="Instructions" sheetId="17"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3" i="3" l="1"/>
  <c r="J143" i="3"/>
  <c r="D14" i="7"/>
  <c r="O23" i="3"/>
  <c r="O27" i="3"/>
  <c r="O31" i="3"/>
  <c r="O35" i="3"/>
  <c r="O39" i="3"/>
  <c r="O43" i="3"/>
  <c r="O49" i="3"/>
  <c r="N23" i="3"/>
  <c r="N49" i="3"/>
  <c r="N43" i="3"/>
  <c r="N39" i="3"/>
  <c r="N35" i="3"/>
  <c r="N31" i="3"/>
  <c r="N27" i="3"/>
  <c r="M23" i="3"/>
  <c r="M25" i="3"/>
  <c r="M27" i="3"/>
  <c r="M29" i="3"/>
  <c r="M31" i="3"/>
  <c r="M33" i="3"/>
  <c r="M35" i="3"/>
  <c r="M38" i="3"/>
  <c r="M39" i="3"/>
  <c r="M41" i="3"/>
  <c r="M43" i="3"/>
  <c r="M46" i="3"/>
  <c r="M49" i="3"/>
  <c r="M52" i="3"/>
  <c r="L52" i="3"/>
  <c r="L49" i="3"/>
  <c r="L46" i="3"/>
  <c r="L43" i="3"/>
  <c r="L41" i="3"/>
  <c r="L38" i="3"/>
  <c r="L35" i="3"/>
  <c r="L33" i="3"/>
  <c r="L31" i="3"/>
  <c r="L29" i="3"/>
  <c r="L27" i="3"/>
  <c r="L25" i="3"/>
  <c r="L23" i="3"/>
  <c r="K130" i="3"/>
  <c r="K131" i="3"/>
  <c r="K132" i="3"/>
  <c r="K133" i="3"/>
  <c r="K134" i="3"/>
  <c r="K135" i="3"/>
  <c r="K136" i="3"/>
  <c r="K137" i="3"/>
  <c r="K138" i="3"/>
  <c r="K139" i="3"/>
  <c r="K140" i="3"/>
  <c r="K141" i="3"/>
  <c r="K112" i="3"/>
  <c r="K113" i="3"/>
  <c r="K114" i="3"/>
  <c r="K115" i="3"/>
  <c r="K116" i="3"/>
  <c r="K117" i="3"/>
  <c r="K118" i="3"/>
  <c r="K119" i="3"/>
  <c r="K120" i="3"/>
  <c r="K121" i="3"/>
  <c r="K122" i="3"/>
  <c r="K123" i="3"/>
  <c r="K124" i="3"/>
  <c r="K125" i="3"/>
  <c r="K126" i="3"/>
  <c r="K127" i="3"/>
  <c r="K128" i="3"/>
  <c r="K129" i="3"/>
  <c r="K90" i="3"/>
  <c r="K91" i="3"/>
  <c r="K92" i="3"/>
  <c r="K93" i="3"/>
  <c r="K94" i="3"/>
  <c r="K95" i="3"/>
  <c r="K96" i="3"/>
  <c r="K97" i="3"/>
  <c r="K98" i="3"/>
  <c r="K99" i="3"/>
  <c r="K100" i="3"/>
  <c r="K101" i="3"/>
  <c r="K102" i="3"/>
  <c r="K103" i="3"/>
  <c r="K104" i="3"/>
  <c r="K105" i="3"/>
  <c r="K106" i="3"/>
  <c r="K107" i="3"/>
  <c r="K108" i="3"/>
  <c r="K109" i="3"/>
  <c r="K110" i="3"/>
  <c r="K111" i="3"/>
  <c r="K72" i="3"/>
  <c r="K73" i="3"/>
  <c r="K74" i="3"/>
  <c r="K75" i="3"/>
  <c r="K76" i="3"/>
  <c r="K77" i="3"/>
  <c r="K78" i="3"/>
  <c r="K79" i="3"/>
  <c r="K80" i="3"/>
  <c r="K81" i="3"/>
  <c r="K82" i="3"/>
  <c r="K83" i="3"/>
  <c r="K84" i="3"/>
  <c r="K85" i="3"/>
  <c r="K86" i="3"/>
  <c r="K87" i="3"/>
  <c r="K88" i="3"/>
  <c r="K89" i="3"/>
  <c r="K53" i="3"/>
  <c r="K54" i="3"/>
  <c r="K55" i="3"/>
  <c r="K56" i="3"/>
  <c r="K57" i="3"/>
  <c r="K58" i="3"/>
  <c r="K59" i="3"/>
  <c r="K60" i="3"/>
  <c r="K61" i="3"/>
  <c r="K62" i="3"/>
  <c r="K63" i="3"/>
  <c r="K64" i="3"/>
  <c r="K65" i="3"/>
  <c r="K66" i="3"/>
  <c r="K67" i="3"/>
  <c r="K68" i="3"/>
  <c r="K69" i="3"/>
  <c r="K70" i="3"/>
  <c r="K71" i="3"/>
  <c r="K36" i="3"/>
  <c r="K37" i="3"/>
  <c r="K38" i="3"/>
  <c r="K39" i="3"/>
  <c r="K40" i="3"/>
  <c r="K41" i="3"/>
  <c r="K42" i="3"/>
  <c r="K43" i="3"/>
  <c r="K44" i="3"/>
  <c r="K45" i="3"/>
  <c r="K46" i="3"/>
  <c r="K47" i="3"/>
  <c r="K48" i="3"/>
  <c r="K49" i="3"/>
  <c r="K50" i="3"/>
  <c r="K51" i="3"/>
  <c r="K52" i="3"/>
  <c r="K24" i="3"/>
  <c r="K25" i="3"/>
  <c r="K26" i="3"/>
  <c r="K27" i="3"/>
  <c r="K28" i="3"/>
  <c r="K29" i="3"/>
  <c r="K30" i="3"/>
  <c r="K31" i="3"/>
  <c r="K32" i="3"/>
  <c r="K33" i="3"/>
  <c r="K34" i="3"/>
  <c r="K35" i="3"/>
  <c r="K23" i="3"/>
  <c r="F22" i="10" l="1"/>
  <c r="F16" i="8"/>
  <c r="F17" i="8"/>
  <c r="F18" i="8"/>
  <c r="F19" i="8"/>
  <c r="F20" i="8"/>
  <c r="F21" i="8"/>
  <c r="F22" i="8"/>
  <c r="F23" i="8"/>
  <c r="F24" i="8"/>
  <c r="F25" i="8"/>
  <c r="F30" i="8"/>
  <c r="F31" i="8"/>
  <c r="E16" i="8"/>
  <c r="E17" i="8"/>
  <c r="E18" i="8"/>
  <c r="E19" i="8"/>
  <c r="E20" i="8"/>
  <c r="E21" i="8"/>
  <c r="E22" i="8"/>
  <c r="E23" i="8"/>
  <c r="E24" i="8"/>
  <c r="E25" i="8"/>
  <c r="E31" i="8"/>
  <c r="E10" i="9"/>
  <c r="F11" i="9"/>
  <c r="F12" i="9"/>
  <c r="F13" i="9"/>
  <c r="F17" i="9"/>
  <c r="F18" i="9"/>
  <c r="F19" i="9"/>
  <c r="F20" i="9"/>
  <c r="F21" i="9"/>
  <c r="F22" i="9"/>
  <c r="F23" i="9"/>
  <c r="F24" i="9"/>
  <c r="F25" i="9"/>
  <c r="F26" i="9"/>
  <c r="E11" i="9"/>
  <c r="E12" i="9"/>
  <c r="E13" i="9"/>
  <c r="E17" i="9"/>
  <c r="E18" i="9"/>
  <c r="E19" i="9"/>
  <c r="E20" i="9"/>
  <c r="E21" i="9"/>
  <c r="E22" i="9"/>
  <c r="E23" i="9"/>
  <c r="E24" i="9"/>
  <c r="E25" i="9"/>
  <c r="E26" i="9"/>
  <c r="F10" i="9"/>
  <c r="H90" i="3"/>
  <c r="L39"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54" i="3"/>
  <c r="H23" i="3"/>
  <c r="H24" i="3"/>
  <c r="H25" i="3"/>
  <c r="H26" i="3"/>
  <c r="H27" i="3"/>
  <c r="H28" i="3"/>
  <c r="H29" i="3"/>
  <c r="H30" i="3"/>
  <c r="H31" i="3"/>
  <c r="H32" i="3"/>
  <c r="H33" i="3"/>
  <c r="H34" i="3"/>
  <c r="H35" i="3"/>
  <c r="F15" i="8" s="1"/>
  <c r="H36" i="3"/>
  <c r="H37" i="3"/>
  <c r="H38" i="3"/>
  <c r="H39" i="3"/>
  <c r="H40" i="3"/>
  <c r="H41" i="3"/>
  <c r="H42" i="3"/>
  <c r="H43" i="3"/>
  <c r="H44" i="3"/>
  <c r="H45" i="3"/>
  <c r="H46" i="3"/>
  <c r="H47" i="3"/>
  <c r="H48" i="3"/>
  <c r="H49" i="3"/>
  <c r="H50" i="3"/>
  <c r="H51" i="3"/>
  <c r="H52" i="3"/>
  <c r="H53" i="3"/>
  <c r="E15" i="8" l="1"/>
  <c r="J147" i="3"/>
  <c r="F14" i="9" l="1"/>
  <c r="F26" i="8"/>
  <c r="C21" i="10"/>
  <c r="F21" i="10"/>
  <c r="F29" i="10"/>
  <c r="G23" i="7"/>
  <c r="G20" i="7"/>
  <c r="C20" i="7"/>
  <c r="G10" i="7"/>
  <c r="F15" i="7"/>
  <c r="H15" i="7"/>
  <c r="G22" i="7"/>
  <c r="H14" i="7"/>
  <c r="F14" i="7"/>
  <c r="G14" i="7"/>
  <c r="G15" i="7"/>
  <c r="I23" i="7"/>
  <c r="I22" i="7"/>
  <c r="H22" i="7"/>
  <c r="D22" i="7"/>
  <c r="D23" i="7" s="1"/>
  <c r="D26" i="7" l="1"/>
  <c r="J149" i="3"/>
  <c r="F29" i="8" s="1"/>
  <c r="J148" i="3"/>
  <c r="I148" i="3"/>
  <c r="I149" i="3"/>
  <c r="E29" i="8" s="1"/>
  <c r="I147" i="3"/>
  <c r="D15" i="7"/>
  <c r="D32" i="7" s="1"/>
  <c r="H149" i="3"/>
  <c r="H148" i="3"/>
  <c r="H147" i="3"/>
  <c r="H146" i="3"/>
  <c r="H145" i="3"/>
  <c r="H144" i="3"/>
  <c r="H143" i="3"/>
  <c r="H142" i="3"/>
  <c r="E27" i="8" l="1"/>
  <c r="E15" i="9"/>
  <c r="F27" i="8"/>
  <c r="F15" i="9"/>
  <c r="E14" i="9"/>
  <c r="E26" i="8"/>
  <c r="F28" i="8"/>
  <c r="F16" i="9"/>
  <c r="E28" i="8"/>
  <c r="E16" i="9"/>
  <c r="D33" i="7"/>
  <c r="H23" i="7"/>
  <c r="D27" i="7"/>
  <c r="E32" i="8" l="1"/>
  <c r="F32" i="8"/>
  <c r="F27" i="9"/>
  <c r="G28" i="10" s="1"/>
  <c r="E27" i="9"/>
  <c r="D34" i="7"/>
  <c r="D35" i="7" s="1"/>
  <c r="D28" i="7"/>
  <c r="G22" i="10" l="1"/>
  <c r="D11" i="10"/>
  <c r="C27" i="13"/>
  <c r="C16" i="13"/>
  <c r="D17" i="10"/>
  <c r="D16" i="10"/>
  <c r="C15" i="13"/>
  <c r="C17" i="13" l="1"/>
  <c r="C18" i="13" s="1"/>
  <c r="F29" i="13" s="1"/>
  <c r="D18" i="10"/>
  <c r="D19" i="10" s="1"/>
  <c r="D28" i="10" s="1"/>
  <c r="D27" i="9"/>
  <c r="D32" i="8"/>
  <c r="D29" i="7"/>
  <c r="D10" i="10" l="1"/>
  <c r="D12" i="10" s="1"/>
  <c r="D13" i="10" s="1"/>
  <c r="D22" i="10" s="1"/>
  <c r="C24" i="13"/>
  <c r="C30" i="13" s="1"/>
  <c r="C33" i="13" s="1"/>
  <c r="H11" i="13" l="1"/>
  <c r="F24" i="13"/>
</calcChain>
</file>

<file path=xl/sharedStrings.xml><?xml version="1.0" encoding="utf-8"?>
<sst xmlns="http://schemas.openxmlformats.org/spreadsheetml/2006/main" count="823" uniqueCount="254">
  <si>
    <t>This Photo by Unknown Author is licensed under CC BY-SA</t>
  </si>
  <si>
    <t>Background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</si>
  <si>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</si>
  <si>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</si>
  <si>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</si>
  <si>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</si>
  <si>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</si>
  <si>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River Clun Special Area of Conservation (SAC)</t>
  </si>
  <si>
    <t xml:space="preserve">The River Clun SAC is a Habitats site with water pollution and eutrophication considered a threat to its condition. </t>
  </si>
  <si>
    <t>The River Clun is a tributary of the River Teme, which is the second largest tributary of the River Severn.  The Clun drains a hilly, predominantly rural catchment of sandstones and mudstones.</t>
  </si>
  <si>
    <t xml:space="preserve">The SAC includes only the lower reaches of the River Clun and extends upstream from its confluence with the River Teme to Broadward Bridge near Marlow. This section of the river holds an important population of the freshwater pearl mussel, which have a requirement for very good water quality. This is one of the few remaining populations of pearl mussel left in the lowlands of the UK. </t>
  </si>
  <si>
    <t xml:space="preserve">Increased levels of nitrogen and phosphorous entering aquatic environments via surface water and groundwater can severely threaten these sensitive habitats and species within the SAC.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</si>
  <si>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 xml:space="preserve">More detailed information on the qualifying features of the SAC and details of water quality data highlighting the current nutrient problems in the river are available in the Natural England River Clun SAC evidence summary. </t>
  </si>
  <si>
    <t>Instructions</t>
  </si>
  <si>
    <t>The nutrient budget for a site is calculated in four stages, with each stage implemented in the following worksheets.</t>
  </si>
  <si>
    <t>1. General tips:</t>
  </si>
  <si>
    <t xml:space="preserve">Key: </t>
  </si>
  <si>
    <t>Values to be entered by the user</t>
  </si>
  <si>
    <t>Fixed or calculated values</t>
  </si>
  <si>
    <t>Lookup tables</t>
  </si>
  <si>
    <t>When a cell is selected, instructions are shown on how to fill out the cell:</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</si>
  <si>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</si>
  <si>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 xml:space="preserve">Note: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</si>
  <si>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</si>
  <si>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2. Stage specific instructions:</t>
  </si>
  <si>
    <t>2.1 Stage 1: calculate the new nutrient load associated with the additional wastewater:</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</si>
  <si>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</si>
  <si>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</si>
  <si>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</si>
  <si>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</si>
  <si>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nitrogen (TN) or total phosphorus (TP) final effluent concentrations (in mg/l) are specified by the manufacturer, please select 'Septic Tank user defined' or 'Package Treatment Plant user defined' and enter the manufacturer specified value in the cell where prompted.</t>
  </si>
  <si>
    <t>2.2 Stage 2 - calculate the annual nutrient load from existing (pre development) land use on the development site: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</si>
  <si>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</si>
  <si>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</si>
  <si>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</si>
  <si>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2.3 Stage 3 - calculate the annual nutrient load from new (post-development) land use on the development site:</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</si>
  <si>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</si>
  <si>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</si>
  <si>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</si>
  <si>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2.4 Stage 4 - calculate the net change in nutrient loading for the site and the final annual nutrient budget for the development site: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</si>
  <si>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</si>
  <si>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</si>
  <si>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</si>
  <si>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2.5 The equation used to calculate the nutrient budget:</t>
  </si>
  <si>
    <t>3. Site specific data collection instructions:</t>
  </si>
  <si>
    <t>3.1 Instructions for finding the Operational Catchment that the development is situated within:</t>
  </si>
  <si>
    <t xml:space="preserve">a) Go to this link:  </t>
  </si>
  <si>
    <t xml:space="preserve">http://environment.data.gov.uk/catchment-planning/ </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</si>
  <si>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</si>
  <si>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</si>
  <si>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</si>
  <si>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3.2 Instructions for finding the drainage associated with the predominant soil type within development site:</t>
  </si>
  <si>
    <t xml:space="preserve">a) Go to this link:   </t>
  </si>
  <si>
    <t xml:space="preserve">http://www.landis.org.uk/soilscapes/#.  </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</si>
  <si>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</si>
  <si>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</si>
  <si>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</si>
  <si>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3.3 Instructions for finding the annual average rainfall that the development will receive using the National River Flow Archive:</t>
  </si>
  <si>
    <t>https://nrfa.ceh.ac.uk/data/station/spatial/54054</t>
  </si>
  <si>
    <t>b) This link will bring the user to the Onny at Onibury flow gauge catchment information page.</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</si>
  <si>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</si>
  <si>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</si>
  <si>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</si>
  <si>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3.4 Instructions for finding out whether the development is in a Nitrate Vulnerable Zone (NVZ):</t>
  </si>
  <si>
    <t>a) Go to this link:</t>
  </si>
  <si>
    <t>http://mapapps2.bgs.ac.uk/ukso/home.html?layers=NVZEng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</si>
  <si>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</si>
  <si>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</si>
  <si>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</si>
  <si>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Development site details</t>
  </si>
  <si>
    <r>
      <t xml:space="preserve">Date </t>
    </r>
    <r>
      <rPr>
        <sz val="11"/>
        <rFont val="Calibri"/>
        <family val="2"/>
        <scheme val="minor"/>
      </rPr>
      <t>(dd/mm/yyyy)</t>
    </r>
    <r>
      <rPr>
        <b/>
        <sz val="11"/>
        <rFont val="Calibri"/>
        <family val="2"/>
        <scheme val="minor"/>
      </rPr>
      <t>:</t>
    </r>
  </si>
  <si>
    <t>Site Name:</t>
  </si>
  <si>
    <t>Planning Application number:</t>
  </si>
  <si>
    <t>Site Address:</t>
  </si>
  <si>
    <t>Stage 1</t>
  </si>
  <si>
    <t>User Inputs</t>
  </si>
  <si>
    <t>Date of first occupancy:</t>
  </si>
  <si>
    <t>Average occupancy rate:</t>
  </si>
  <si>
    <r>
      <t xml:space="preserve">Water usage </t>
    </r>
    <r>
      <rPr>
        <sz val="11"/>
        <rFont val="Arial"/>
        <family val="2"/>
      </rPr>
      <t>(litres/person/day)</t>
    </r>
    <r>
      <rPr>
        <b/>
        <sz val="11"/>
        <rFont val="Arial"/>
        <family val="2"/>
      </rPr>
      <t>:</t>
    </r>
  </si>
  <si>
    <r>
      <t xml:space="preserve">Development Proposal </t>
    </r>
    <r>
      <rPr>
        <sz val="11"/>
        <rFont val="Arial"/>
        <family val="2"/>
      </rPr>
      <t>(dwellings/units)</t>
    </r>
    <r>
      <rPr>
        <b/>
        <sz val="11"/>
        <rFont val="Arial"/>
        <family val="2"/>
      </rPr>
      <t>:</t>
    </r>
  </si>
  <si>
    <t>Wastewater treatment works:</t>
  </si>
  <si>
    <r>
      <t xml:space="preserve">Wastewater treatment works P permit </t>
    </r>
    <r>
      <rPr>
        <sz val="11"/>
        <rFont val="Arial"/>
        <family val="2"/>
      </rPr>
      <t>(mg TP/litre)</t>
    </r>
    <r>
      <rPr>
        <b/>
        <sz val="11"/>
        <rFont val="Arial"/>
        <family val="2"/>
      </rPr>
      <t>:</t>
    </r>
  </si>
  <si>
    <r>
      <t xml:space="preserve">Wastewater treatment works N permit </t>
    </r>
    <r>
      <rPr>
        <sz val="11"/>
        <rFont val="Arial"/>
        <family val="2"/>
      </rPr>
      <t>(mg TN/litre)</t>
    </r>
    <r>
      <rPr>
        <b/>
        <sz val="11"/>
        <rFont val="Arial"/>
        <family val="2"/>
      </rPr>
      <t>:</t>
    </r>
  </si>
  <si>
    <t>Stage 1 Calculated Loading</t>
  </si>
  <si>
    <t>AND($C$9&lt;DATE(2025,1,1),OR((VLOOKUP($C$13,Lookups!$A$9:$E$14,2,FALSE))&gt;(VLOOKUP($C$13,Lookups!$A$9:$E$14,4,FALSE)),(VLOOKUP($C$13,Lookups!$A$9:$E$14,3,FALSE))&gt;(VLOOKUP($C$13,Lookups!$A$9:$E$14,5,FALSE))))</t>
  </si>
  <si>
    <t>Additional population</t>
  </si>
  <si>
    <t>people</t>
  </si>
  <si>
    <t>Wastewater by development</t>
  </si>
  <si>
    <t>litres/day</t>
  </si>
  <si>
    <t>TP discharge from WwTW</t>
  </si>
  <si>
    <t>mg TP/day</t>
  </si>
  <si>
    <t>Convert to kg/TP/d</t>
  </si>
  <si>
    <t>kg TP/day</t>
  </si>
  <si>
    <t>Convert to kg/TP/yr</t>
  </si>
  <si>
    <t>kg TP/yr</t>
  </si>
  <si>
    <t>Annual wastewater TP load</t>
  </si>
  <si>
    <t>TN discharge from WwTW</t>
  </si>
  <si>
    <t>mg TN/day</t>
  </si>
  <si>
    <t>Convert to kg/TN/d</t>
  </si>
  <si>
    <t>kg TN/day</t>
  </si>
  <si>
    <t>Convert to kg/TN/yr</t>
  </si>
  <si>
    <t>kg TN/yr</t>
  </si>
  <si>
    <t>Annual wastewater TN load</t>
  </si>
  <si>
    <t>Stage 2</t>
  </si>
  <si>
    <t>Catchment:</t>
  </si>
  <si>
    <t>Soil drainage type:</t>
  </si>
  <si>
    <r>
      <t xml:space="preserve">Annual average rainfall </t>
    </r>
    <r>
      <rPr>
        <sz val="11"/>
        <rFont val="Arial"/>
        <family val="2"/>
      </rPr>
      <t>(mm)</t>
    </r>
    <r>
      <rPr>
        <b/>
        <sz val="11"/>
        <rFont val="Arial"/>
        <family val="2"/>
      </rPr>
      <t>:</t>
    </r>
  </si>
  <si>
    <t>Within Nitrate Vulnerable Zone (NVZ):</t>
  </si>
  <si>
    <t>Existing land use type(s)</t>
  </si>
  <si>
    <r>
      <t xml:space="preserve">Area </t>
    </r>
    <r>
      <rPr>
        <sz val="11"/>
        <color theme="1"/>
        <rFont val="Arial"/>
        <family val="2"/>
      </rPr>
      <t>(ha)</t>
    </r>
  </si>
  <si>
    <r>
      <t xml:space="preserve">Annual phosphorus nutrient export 
</t>
    </r>
    <r>
      <rPr>
        <sz val="11"/>
        <color theme="1"/>
        <rFont val="Arial"/>
        <family val="2"/>
      </rPr>
      <t>(kg TP)</t>
    </r>
  </si>
  <si>
    <r>
      <t xml:space="preserve">Annual nitrogen nutrient export 
</t>
    </r>
    <r>
      <rPr>
        <sz val="11"/>
        <color theme="1"/>
        <rFont val="Arial"/>
        <family val="2"/>
      </rPr>
      <t>(kg TN)</t>
    </r>
  </si>
  <si>
    <t>Total:</t>
  </si>
  <si>
    <t>Stage 3</t>
  </si>
  <si>
    <t>New land use type(s)</t>
  </si>
  <si>
    <r>
      <t xml:space="preserve">Annual nitrogen nutrient export
</t>
    </r>
    <r>
      <rPr>
        <sz val="11"/>
        <color theme="1"/>
        <rFont val="Arial"/>
        <family val="2"/>
      </rPr>
      <t>(kg TN)</t>
    </r>
  </si>
  <si>
    <t>Stage 4</t>
  </si>
  <si>
    <t>Calculated Outputs</t>
  </si>
  <si>
    <t>P loading to WwTW:</t>
  </si>
  <si>
    <t>Net land use P change:</t>
  </si>
  <si>
    <t>P budget:</t>
  </si>
  <si>
    <t>P budget + 20% buffer:</t>
  </si>
  <si>
    <t>N loading to WwTW:</t>
  </si>
  <si>
    <t>Net land use N change:</t>
  </si>
  <si>
    <t>N budget:</t>
  </si>
  <si>
    <t>N budget + 20% buffer:</t>
  </si>
  <si>
    <t>The total annual phosphorus load to mitigate is:</t>
  </si>
  <si>
    <t>The total annual nitrogen load to mitigate is:</t>
  </si>
  <si>
    <t>Your final phosphorus budget is:</t>
  </si>
  <si>
    <t>have pop up message if negative that says soemthing like "No P to mitigate</t>
  </si>
  <si>
    <t xml:space="preserve">If positive have message similar to the right </t>
  </si>
  <si>
    <t>The total amount of nitrogen to mitigate is:</t>
  </si>
  <si>
    <t>Look Up Tables</t>
  </si>
  <si>
    <t>Table 1: Stage 1 WwTW lookup</t>
  </si>
  <si>
    <t>Discharge Site Name</t>
  </si>
  <si>
    <t>Phosphorus, Total as P (mg/l)</t>
  </si>
  <si>
    <t>Nitrogen, Total as N (mg/l)</t>
  </si>
  <si>
    <t>Phosphorus, Total as P (mg/l), permit post 2025</t>
  </si>
  <si>
    <t>Nitogren, Total as N (mg/l), permit post 2025</t>
  </si>
  <si>
    <t>Aston-On-Clun STW</t>
  </si>
  <si>
    <t>Bishops Castle STW</t>
  </si>
  <si>
    <t>Blundell Hall STW</t>
  </si>
  <si>
    <t>Bucknell STW</t>
  </si>
  <si>
    <t>Clun STW</t>
  </si>
  <si>
    <t>Clunbury Sewage Treatment Works</t>
  </si>
  <si>
    <t>Lydbury North STW</t>
  </si>
  <si>
    <t>Newcastle-On-Clun STW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</si>
  <si>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</si>
  <si>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</si>
  <si>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</si>
  <si>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</si>
  <si>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</si>
  <si>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</si>
  <si>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</si>
  <si>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</si>
  <si>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</si>
  <si>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</si>
  <si>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</si>
  <si>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</si>
  <si>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</si>
  <si>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</si>
  <si>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</si>
  <si>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</si>
  <si>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</si>
  <si>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</si>
  <si>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Clun River</t>
  </si>
  <si>
    <t>Cereals</t>
  </si>
  <si>
    <t>700to900</t>
  </si>
  <si>
    <t>FreeDrain</t>
  </si>
  <si>
    <t>DrainedAr</t>
  </si>
  <si>
    <t>900to1200</t>
  </si>
  <si>
    <t>General</t>
  </si>
  <si>
    <t>Poultry</t>
  </si>
  <si>
    <t>DrainedArGr</t>
  </si>
  <si>
    <t>Dairy</t>
  </si>
  <si>
    <t>LFA</t>
  </si>
  <si>
    <t>Lowland</t>
  </si>
  <si>
    <t>Mixed</t>
  </si>
  <si>
    <t>3096_Teme</t>
  </si>
  <si>
    <t>600to700</t>
  </si>
  <si>
    <t>Hortic</t>
  </si>
  <si>
    <t>Pig</t>
  </si>
  <si>
    <t>-</t>
  </si>
  <si>
    <t>Greenspace</t>
  </si>
  <si>
    <t>Community food growing</t>
  </si>
  <si>
    <t>Woodland</t>
  </si>
  <si>
    <t>Shrub</t>
  </si>
  <si>
    <t>Water</t>
  </si>
  <si>
    <t>Residential urban land</t>
  </si>
  <si>
    <r>
      <t>Commercial/</t>
    </r>
    <r>
      <rPr>
        <i/>
        <sz val="11"/>
        <color theme="1"/>
        <rFont val="Segoe UI"/>
        <family val="2"/>
      </rPr>
      <t>i</t>
    </r>
    <r>
      <rPr>
        <sz val="11"/>
        <color theme="1"/>
        <rFont val="Segoe UI"/>
        <family val="2"/>
      </rPr>
      <t>ndustrial urban land</t>
    </r>
  </si>
  <si>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</si>
  <si>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</si>
  <si>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</si>
  <si>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</si>
  <si>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</si>
  <si>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</si>
  <si>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</si>
  <si>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</si>
  <si>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</si>
  <si>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</si>
  <si>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</si>
  <si>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</si>
  <si>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</si>
  <si>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</si>
  <si>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</si>
  <si>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</si>
  <si>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</si>
  <si>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</si>
  <si>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</si>
  <si>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</si>
  <si>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</si>
  <si>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</si>
  <si>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</si>
  <si>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</si>
  <si>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</si>
  <si>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</si>
  <si>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</si>
  <si>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</si>
  <si>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</si>
  <si>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</si>
  <si>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</si>
  <si>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</si>
  <si>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</si>
  <si>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</si>
  <si>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</si>
  <si>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</si>
  <si>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</si>
  <si>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</si>
  <si>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</si>
  <si>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</si>
  <si>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</si>
  <si>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</si>
  <si>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</si>
  <si>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</si>
  <si>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All Possible Landcover Types</t>
  </si>
  <si>
    <t>Clun Specific Landcover Types</t>
  </si>
  <si>
    <t>Horticulture</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</si>
  <si>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</si>
  <si>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</si>
  <si>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</si>
  <si>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</si>
  <si>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</si>
  <si>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</si>
  <si>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</si>
  <si>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</si>
  <si>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</si>
  <si>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</si>
  <si>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</si>
  <si>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</si>
  <si>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</si>
  <si>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</si>
  <si>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r>
      <t>Commercial/</t>
    </r>
    <r>
      <rPr>
        <i/>
        <sz val="11"/>
        <color theme="1"/>
        <rFont val="Arial"/>
        <family val="2"/>
      </rPr>
      <t>i</t>
    </r>
    <r>
      <rPr>
        <sz val="11"/>
        <color theme="1"/>
        <rFont val="Arial"/>
        <family val="2"/>
      </rPr>
      <t>ndustrial urban land</t>
    </r>
  </si>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</sst>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sz val="11"/>
      <name val="Calibri"/>
      <family val="2"/>
      <scheme val="minor"/>
    </font>
    <font>
      <u/>
      <sz val="11"/>
      <color theme="10"/>
      <name val="Calibri"/>
      <family val="2"/>
      <scheme val="minor"/>
    </font>
    <font>
      <sz val="11"/>
      <color theme="1"/>
      <name val="Segoe UI"/>
      <family val="2"/>
    </font>
    <font>
      <sz val="11"/>
      <color rgb="FF000000"/>
      <name val="Segoe UI"/>
      <family val="2"/>
    </font>
    <font>
      <i/>
      <sz val="11"/>
      <color theme="1"/>
      <name val="Segoe UI"/>
      <family val="2"/>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u/>
      <sz val="11"/>
      <color theme="10"/>
      <name val="Segoe UI"/>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4">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medium">
        <color rgb="FF449669"/>
      </left>
      <right style="medium">
        <color rgb="FF449669"/>
      </right>
      <top style="medium">
        <color rgb="FF449669"/>
      </top>
      <bottom/>
      <diagonal/>
    </border>
    <border>
      <left style="medium">
        <color rgb="FF449669"/>
      </left>
      <right/>
      <top/>
      <bottom style="medium">
        <color rgb="FF449669"/>
      </bottom>
      <diagonal/>
    </border>
    <border>
      <left style="thick">
        <color rgb="FF449669"/>
      </left>
      <right style="thick">
        <color rgb="FF449669"/>
      </right>
      <top style="thick">
        <color rgb="FF449669"/>
      </top>
      <bottom/>
      <diagonal/>
    </border>
  </borders>
  <cellStyleXfs count="2">
    <xf numFmtId="0" fontId="0" fillId="0" borderId="0"/>
    <xf numFmtId="0" fontId="2" fillId="0" borderId="0" applyNumberFormat="0" applyFill="0" applyBorder="0" applyAlignment="0" applyProtection="0"/>
  </cellStyleXfs>
  <cellXfs count="269">
    <xf numFmtId="0" fontId="0" fillId="0" borderId="0" xfId="0"/>
    <xf numFmtId="0" fontId="0" fillId="2" borderId="0" xfId="0" applyFill="1"/>
    <xf numFmtId="0" fontId="1" fillId="2" borderId="0" xfId="0" applyFont="1" applyFill="1"/>
    <xf numFmtId="0" fontId="6" fillId="2" borderId="0" xfId="0" applyFont="1" applyFill="1" applyAlignment="1">
      <alignment horizontal="left"/>
    </xf>
    <xf numFmtId="0" fontId="7" fillId="2" borderId="0" xfId="0" applyFont="1" applyFill="1" applyAlignment="1">
      <alignment horizontal="left"/>
    </xf>
    <xf numFmtId="0" fontId="8" fillId="2" borderId="0" xfId="0" applyFont="1" applyFill="1" applyAlignment="1">
      <alignment horizontal="left"/>
    </xf>
    <xf numFmtId="14" fontId="6" fillId="2" borderId="0" xfId="0" applyNumberFormat="1"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6"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pplyAlignment="1">
      <alignment horizontal="center" vertical="center"/>
    </xf>
    <xf numFmtId="2" fontId="6"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0" fontId="11" fillId="2" borderId="1" xfId="0" applyFont="1" applyFill="1" applyBorder="1"/>
    <xf numFmtId="0" fontId="12" fillId="2" borderId="0" xfId="0" applyFont="1" applyFill="1" applyAlignment="1">
      <alignment horizontal="left" vertical="center" wrapText="1"/>
    </xf>
    <xf numFmtId="0" fontId="12" fillId="2" borderId="4" xfId="0" applyFont="1" applyFill="1" applyBorder="1" applyAlignment="1">
      <alignment horizontal="left" vertical="center" wrapText="1"/>
    </xf>
    <xf numFmtId="0" fontId="12" fillId="2" borderId="7" xfId="0" applyFont="1" applyFill="1" applyBorder="1" applyAlignment="1">
      <alignment horizontal="left" vertical="center" wrapText="1"/>
    </xf>
    <xf numFmtId="2" fontId="15" fillId="2" borderId="0" xfId="0" applyNumberFormat="1" applyFont="1" applyFill="1" applyAlignment="1">
      <alignment horizontal="center" vertical="center"/>
    </xf>
    <xf numFmtId="0" fontId="11" fillId="2" borderId="0" xfId="0" applyFont="1" applyFill="1" applyAlignment="1">
      <alignment horizontal="left" vertical="center"/>
    </xf>
    <xf numFmtId="2" fontId="11" fillId="4" borderId="0" xfId="0" applyNumberFormat="1" applyFont="1" applyFill="1" applyAlignment="1">
      <alignment horizontal="center" vertical="center"/>
    </xf>
    <xf numFmtId="2" fontId="11" fillId="2" borderId="0" xfId="0" applyNumberFormat="1" applyFont="1" applyFill="1" applyAlignment="1">
      <alignment horizontal="center" vertical="center"/>
    </xf>
    <xf numFmtId="0" fontId="15" fillId="2" borderId="0" xfId="0" applyFont="1" applyFill="1"/>
    <xf numFmtId="2" fontId="15" fillId="4" borderId="1" xfId="0" applyNumberFormat="1" applyFont="1" applyFill="1" applyBorder="1" applyAlignment="1">
      <alignment horizontal="left" vertical="center" wrapText="1"/>
    </xf>
    <xf numFmtId="14" fontId="15" fillId="2" borderId="0" xfId="0" applyNumberFormat="1" applyFont="1" applyFill="1" applyAlignment="1">
      <alignment vertical="center" wrapText="1"/>
    </xf>
    <xf numFmtId="0" fontId="15" fillId="2" borderId="0" xfId="0" applyFont="1" applyFill="1" applyAlignment="1">
      <alignment vertical="center"/>
    </xf>
    <xf numFmtId="0" fontId="15" fillId="2" borderId="0" xfId="0" applyFont="1" applyFill="1" applyAlignment="1">
      <alignment vertical="center" wrapText="1"/>
    </xf>
    <xf numFmtId="0" fontId="15" fillId="2" borderId="0" xfId="0" applyFont="1" applyFill="1" applyAlignment="1">
      <alignment horizontal="left" vertical="center"/>
    </xf>
    <xf numFmtId="2" fontId="15" fillId="2" borderId="0" xfId="0" applyNumberFormat="1" applyFont="1" applyFill="1" applyAlignment="1">
      <alignment horizontal="left" vertical="center"/>
    </xf>
    <xf numFmtId="0" fontId="13" fillId="2" borderId="0" xfId="0" applyFont="1" applyFill="1" applyAlignment="1">
      <alignment horizontal="left" vertical="center"/>
    </xf>
    <xf numFmtId="0" fontId="15" fillId="5" borderId="0" xfId="0" applyFont="1" applyFill="1"/>
    <xf numFmtId="0" fontId="12" fillId="5" borderId="6" xfId="0" applyFont="1" applyFill="1" applyBorder="1" applyAlignment="1">
      <alignment horizontal="left" vertical="center"/>
    </xf>
    <xf numFmtId="0" fontId="12" fillId="5" borderId="3" xfId="0" applyFont="1" applyFill="1" applyBorder="1" applyAlignment="1">
      <alignment horizontal="left" vertical="center"/>
    </xf>
    <xf numFmtId="0" fontId="12" fillId="5" borderId="3" xfId="0" applyFont="1" applyFill="1" applyBorder="1" applyAlignment="1">
      <alignment horizontal="left" vertical="center" wrapText="1"/>
    </xf>
    <xf numFmtId="0" fontId="15" fillId="5" borderId="2" xfId="0" applyFont="1" applyFill="1" applyBorder="1" applyAlignment="1">
      <alignment horizontal="left" vertical="center"/>
    </xf>
    <xf numFmtId="2" fontId="15" fillId="5" borderId="0" xfId="0" applyNumberFormat="1" applyFont="1" applyFill="1" applyAlignment="1">
      <alignment horizontal="left" vertical="center"/>
    </xf>
    <xf numFmtId="0" fontId="11" fillId="5" borderId="1" xfId="0" applyFont="1" applyFill="1" applyBorder="1" applyAlignment="1">
      <alignment horizontal="left" vertical="center"/>
    </xf>
    <xf numFmtId="0" fontId="15" fillId="5" borderId="0" xfId="0" applyFont="1" applyFill="1" applyAlignment="1">
      <alignment horizontal="left" vertical="center"/>
    </xf>
    <xf numFmtId="0" fontId="16" fillId="5" borderId="0" xfId="0" applyFont="1" applyFill="1" applyAlignment="1">
      <alignment horizontal="left" vertical="center"/>
    </xf>
    <xf numFmtId="0" fontId="12" fillId="5" borderId="11" xfId="0" applyFont="1" applyFill="1" applyBorder="1" applyAlignment="1">
      <alignment horizontal="left" vertical="center" wrapText="1"/>
    </xf>
    <xf numFmtId="0" fontId="15" fillId="5" borderId="10" xfId="0" applyFont="1" applyFill="1" applyBorder="1" applyAlignment="1">
      <alignment horizontal="left" vertical="center"/>
    </xf>
    <xf numFmtId="0" fontId="12" fillId="5" borderId="11" xfId="0" applyFont="1" applyFill="1" applyBorder="1" applyAlignment="1">
      <alignment horizontal="left" vertical="center"/>
    </xf>
    <xf numFmtId="49" fontId="15" fillId="5" borderId="2" xfId="0" applyNumberFormat="1" applyFont="1" applyFill="1" applyBorder="1" applyAlignment="1">
      <alignment horizontal="left" vertical="center"/>
    </xf>
    <xf numFmtId="0" fontId="15" fillId="5" borderId="5" xfId="0" applyFont="1" applyFill="1" applyBorder="1" applyAlignment="1">
      <alignment horizontal="left" vertical="center"/>
    </xf>
    <xf numFmtId="2" fontId="15" fillId="5" borderId="10"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13" fillId="5" borderId="2" xfId="0" applyFont="1" applyFill="1" applyBorder="1" applyAlignment="1">
      <alignment horizontal="left" vertical="center"/>
    </xf>
    <xf numFmtId="2" fontId="15" fillId="5" borderId="2" xfId="0" applyNumberFormat="1" applyFont="1" applyFill="1" applyBorder="1" applyAlignment="1">
      <alignment horizontal="left" vertical="center"/>
    </xf>
    <xf numFmtId="0" fontId="4" fillId="5" borderId="5" xfId="0" applyFont="1" applyFill="1" applyBorder="1" applyAlignment="1">
      <alignment horizontal="left" vertical="center"/>
    </xf>
    <xf numFmtId="0" fontId="3" fillId="5" borderId="5" xfId="0" applyFont="1" applyFill="1" applyBorder="1" applyAlignment="1">
      <alignment horizontal="left" vertical="center"/>
    </xf>
    <xf numFmtId="0" fontId="13" fillId="5" borderId="5" xfId="0" applyFont="1" applyFill="1" applyBorder="1" applyAlignment="1">
      <alignment horizontal="left" vertical="center"/>
    </xf>
    <xf numFmtId="2" fontId="4" fillId="5" borderId="5" xfId="0" applyNumberFormat="1" applyFont="1" applyFill="1" applyBorder="1" applyAlignment="1">
      <alignment horizontal="left" vertical="center"/>
    </xf>
    <xf numFmtId="2" fontId="13" fillId="4" borderId="1" xfId="0" applyNumberFormat="1" applyFont="1" applyFill="1" applyBorder="1" applyAlignment="1">
      <alignment horizontal="left" vertical="center"/>
    </xf>
    <xf numFmtId="2" fontId="15" fillId="4" borderId="4" xfId="0" applyNumberFormat="1" applyFont="1" applyFill="1" applyBorder="1" applyAlignment="1">
      <alignment horizontal="left" vertical="center"/>
    </xf>
    <xf numFmtId="2" fontId="15" fillId="4" borderId="7" xfId="0" applyNumberFormat="1" applyFont="1" applyFill="1" applyBorder="1" applyAlignment="1">
      <alignment horizontal="left" vertical="center" wrapText="1"/>
    </xf>
    <xf numFmtId="2" fontId="11" fillId="2" borderId="0" xfId="0" applyNumberFormat="1" applyFont="1" applyFill="1" applyAlignment="1">
      <alignment vertical="center"/>
    </xf>
    <xf numFmtId="0" fontId="19" fillId="2" borderId="0" xfId="0" applyFont="1" applyFill="1" applyAlignment="1">
      <alignment horizontal="left" vertical="center" wrapText="1"/>
    </xf>
    <xf numFmtId="0" fontId="15" fillId="4" borderId="0" xfId="0" applyFont="1" applyFill="1" applyAlignment="1">
      <alignment horizontal="center" vertical="center"/>
    </xf>
    <xf numFmtId="0" fontId="15" fillId="2" borderId="12" xfId="0" applyFont="1" applyFill="1" applyBorder="1" applyAlignment="1">
      <alignment horizontal="left" vertical="center"/>
    </xf>
    <xf numFmtId="0" fontId="15" fillId="4" borderId="12" xfId="0" applyFont="1" applyFill="1" applyBorder="1" applyAlignment="1">
      <alignment horizontal="center" vertical="center"/>
    </xf>
    <xf numFmtId="0" fontId="15" fillId="2" borderId="13" xfId="0" applyFont="1" applyFill="1" applyBorder="1" applyAlignment="1">
      <alignment horizontal="left" vertical="center"/>
    </xf>
    <xf numFmtId="0" fontId="11" fillId="2" borderId="13" xfId="0" applyFont="1" applyFill="1" applyBorder="1" applyAlignment="1">
      <alignment horizontal="left" vertical="center"/>
    </xf>
    <xf numFmtId="2" fontId="15" fillId="4" borderId="13" xfId="0" applyNumberFormat="1" applyFont="1" applyFill="1" applyBorder="1" applyAlignment="1">
      <alignment horizontal="center" vertical="center"/>
    </xf>
    <xf numFmtId="2" fontId="11" fillId="4" borderId="13" xfId="0" applyNumberFormat="1" applyFont="1" applyFill="1" applyBorder="1" applyAlignment="1">
      <alignment horizontal="center" vertical="center"/>
    </xf>
    <xf numFmtId="0" fontId="15" fillId="2" borderId="14" xfId="0" applyFont="1" applyFill="1" applyBorder="1" applyAlignment="1">
      <alignment horizontal="left" vertical="center"/>
    </xf>
    <xf numFmtId="0" fontId="15" fillId="4" borderId="14" xfId="0" applyFont="1" applyFill="1" applyBorder="1" applyAlignment="1">
      <alignment horizontal="center" vertical="center"/>
    </xf>
    <xf numFmtId="2" fontId="15" fillId="4" borderId="14" xfId="0" applyNumberFormat="1" applyFont="1" applyFill="1" applyBorder="1" applyAlignment="1">
      <alignment horizontal="center" vertical="center"/>
    </xf>
    <xf numFmtId="0" fontId="12" fillId="2" borderId="13"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1" fillId="2" borderId="12" xfId="0" applyFont="1" applyFill="1" applyBorder="1"/>
    <xf numFmtId="0" fontId="12" fillId="2" borderId="14"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1" fillId="2" borderId="15" xfId="0" applyFont="1" applyFill="1" applyBorder="1" applyAlignment="1">
      <alignment horizontal="right"/>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9" xfId="0" applyFont="1" applyFill="1" applyBorder="1" applyAlignment="1">
      <alignment horizontal="right"/>
    </xf>
    <xf numFmtId="0" fontId="11" fillId="2" borderId="17" xfId="0" applyFont="1" applyFill="1" applyBorder="1" applyAlignment="1">
      <alignment horizontal="left" vertical="center"/>
    </xf>
    <xf numFmtId="0" fontId="15" fillId="4" borderId="12" xfId="0" applyFont="1" applyFill="1" applyBorder="1" applyAlignment="1">
      <alignment horizontal="center" vertical="center" wrapText="1"/>
    </xf>
    <xf numFmtId="0" fontId="15" fillId="4" borderId="0" xfId="0" applyFont="1" applyFill="1" applyAlignment="1">
      <alignment horizontal="center" vertical="center" wrapText="1"/>
    </xf>
    <xf numFmtId="0" fontId="24" fillId="2" borderId="0" xfId="0" applyFont="1" applyFill="1" applyAlignment="1">
      <alignment vertical="center" wrapText="1"/>
    </xf>
    <xf numFmtId="14" fontId="11" fillId="2" borderId="0" xfId="0" applyNumberFormat="1" applyFont="1" applyFill="1" applyAlignment="1">
      <alignment vertical="center" wrapText="1"/>
    </xf>
    <xf numFmtId="0" fontId="11" fillId="2" borderId="0" xfId="0" applyFont="1" applyFill="1" applyAlignment="1">
      <alignment vertical="center" wrapText="1"/>
    </xf>
    <xf numFmtId="0" fontId="10" fillId="2" borderId="0" xfId="0" applyFont="1" applyFill="1" applyAlignment="1">
      <alignment horizontal="center" vertical="center" wrapText="1"/>
    </xf>
    <xf numFmtId="0" fontId="0" fillId="2" borderId="0" xfId="0" applyFill="1" applyAlignment="1">
      <alignment horizontal="left"/>
    </xf>
    <xf numFmtId="2" fontId="11" fillId="2" borderId="0" xfId="0" applyNumberFormat="1" applyFont="1" applyFill="1" applyAlignment="1">
      <alignment horizontal="left" vertical="center"/>
    </xf>
    <xf numFmtId="2" fontId="15" fillId="4" borderId="12" xfId="0" applyNumberFormat="1" applyFont="1" applyFill="1" applyBorder="1" applyAlignment="1">
      <alignment horizontal="center" vertical="center"/>
    </xf>
    <xf numFmtId="0" fontId="22" fillId="2" borderId="0" xfId="0" applyFont="1" applyFill="1"/>
    <xf numFmtId="0" fontId="22" fillId="2" borderId="0" xfId="0" applyFont="1" applyFill="1" applyAlignment="1">
      <alignment horizontal="left"/>
    </xf>
    <xf numFmtId="0" fontId="26" fillId="2" borderId="0" xfId="0" applyFont="1" applyFill="1" applyAlignment="1">
      <alignment horizontal="left" vertical="center"/>
    </xf>
    <xf numFmtId="2" fontId="26" fillId="2" borderId="0" xfId="0" applyNumberFormat="1" applyFont="1" applyFill="1" applyAlignment="1">
      <alignment horizontal="left" vertical="center"/>
    </xf>
    <xf numFmtId="0" fontId="27" fillId="2" borderId="0" xfId="0" applyFont="1" applyFill="1" applyAlignment="1">
      <alignment horizontal="left" vertical="center"/>
    </xf>
    <xf numFmtId="2" fontId="27" fillId="2" borderId="0" xfId="0" applyNumberFormat="1" applyFont="1" applyFill="1" applyAlignment="1">
      <alignment horizontal="left" vertical="center"/>
    </xf>
    <xf numFmtId="0" fontId="26" fillId="2" borderId="0" xfId="0" applyFont="1" applyFill="1" applyAlignment="1">
      <alignment horizontal="center" vertical="center"/>
    </xf>
    <xf numFmtId="2" fontId="26" fillId="2" borderId="0" xfId="0" applyNumberFormat="1" applyFont="1" applyFill="1" applyAlignment="1">
      <alignment horizontal="center" vertical="center"/>
    </xf>
    <xf numFmtId="2" fontId="27" fillId="2" borderId="0" xfId="0" applyNumberFormat="1" applyFont="1" applyFill="1" applyAlignment="1">
      <alignment horizontal="center" vertical="center"/>
    </xf>
    <xf numFmtId="2" fontId="13" fillId="4" borderId="12" xfId="0" applyNumberFormat="1" applyFont="1" applyFill="1" applyBorder="1" applyAlignment="1">
      <alignment horizontal="center" vertical="center"/>
    </xf>
    <xf numFmtId="2" fontId="15" fillId="4" borderId="14" xfId="0" quotePrefix="1" applyNumberFormat="1" applyFont="1" applyFill="1" applyBorder="1" applyAlignment="1">
      <alignment horizontal="center" vertical="center" wrapText="1"/>
    </xf>
    <xf numFmtId="2" fontId="15" fillId="4" borderId="0" xfId="0" applyNumberFormat="1" applyFont="1" applyFill="1" applyAlignment="1">
      <alignment horizontal="center" vertical="center" wrapText="1"/>
    </xf>
    <xf numFmtId="2" fontId="15" fillId="4" borderId="14" xfId="0" applyNumberFormat="1" applyFont="1" applyFill="1" applyBorder="1" applyAlignment="1">
      <alignment horizontal="center" vertical="center" wrapText="1"/>
    </xf>
    <xf numFmtId="0" fontId="11" fillId="4" borderId="16" xfId="0" applyFont="1" applyFill="1" applyBorder="1" applyAlignment="1">
      <alignment horizontal="right"/>
    </xf>
    <xf numFmtId="2" fontId="11" fillId="4" borderId="16" xfId="0" applyNumberFormat="1" applyFont="1" applyFill="1" applyBorder="1" applyAlignment="1">
      <alignment horizontal="right"/>
    </xf>
    <xf numFmtId="2" fontId="11" fillId="4" borderId="0" xfId="0" applyNumberFormat="1" applyFont="1" applyFill="1" applyAlignment="1">
      <alignment horizontal="right"/>
    </xf>
    <xf numFmtId="14" fontId="18" fillId="3" borderId="12" xfId="0" applyNumberFormat="1" applyFont="1" applyFill="1" applyBorder="1" applyAlignment="1" applyProtection="1">
      <alignment horizontal="left" vertical="center"/>
      <protection locked="0"/>
    </xf>
    <xf numFmtId="2" fontId="18" fillId="3" borderId="14" xfId="0" applyNumberFormat="1"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5" fillId="3" borderId="15" xfId="0" applyFont="1" applyFill="1" applyBorder="1" applyAlignment="1" applyProtection="1">
      <alignment horizontal="left"/>
      <protection locked="0"/>
    </xf>
    <xf numFmtId="2" fontId="15" fillId="3" borderId="16" xfId="0" applyNumberFormat="1" applyFont="1" applyFill="1" applyBorder="1" applyAlignment="1" applyProtection="1">
      <alignment horizontal="left"/>
      <protection locked="0"/>
    </xf>
    <xf numFmtId="2" fontId="15" fillId="3" borderId="18" xfId="0" applyNumberFormat="1" applyFont="1" applyFill="1" applyBorder="1" applyAlignment="1" applyProtection="1">
      <alignment horizontal="left"/>
      <protection locked="0"/>
    </xf>
    <xf numFmtId="14" fontId="13" fillId="3" borderId="12" xfId="0" applyNumberFormat="1" applyFont="1" applyFill="1" applyBorder="1" applyAlignment="1" applyProtection="1">
      <alignment horizontal="center" vertical="center"/>
      <protection locked="0"/>
    </xf>
    <xf numFmtId="2" fontId="15" fillId="3" borderId="12" xfId="0" applyNumberFormat="1"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2" fontId="13" fillId="3" borderId="15" xfId="0" applyNumberFormat="1" applyFont="1" applyFill="1" applyBorder="1" applyAlignment="1" applyProtection="1">
      <alignment horizontal="left"/>
      <protection locked="0"/>
    </xf>
    <xf numFmtId="2" fontId="13" fillId="3" borderId="15" xfId="0" applyNumberFormat="1" applyFont="1" applyFill="1" applyBorder="1" applyAlignment="1" applyProtection="1">
      <alignment horizontal="left" vertical="center"/>
      <protection locked="0"/>
    </xf>
    <xf numFmtId="2" fontId="12" fillId="3" borderId="15" xfId="0" applyNumberFormat="1" applyFont="1" applyFill="1" applyBorder="1" applyAlignment="1" applyProtection="1">
      <alignment horizontal="left" vertical="center"/>
      <protection locked="0"/>
    </xf>
    <xf numFmtId="0" fontId="15" fillId="3" borderId="17" xfId="0" applyFont="1" applyFill="1" applyBorder="1" applyAlignment="1" applyProtection="1">
      <alignment horizontal="left"/>
      <protection locked="0"/>
    </xf>
    <xf numFmtId="2" fontId="13" fillId="3" borderId="17" xfId="0" applyNumberFormat="1" applyFont="1" applyFill="1" applyBorder="1" applyAlignment="1" applyProtection="1">
      <alignment horizontal="left"/>
      <protection locked="0"/>
    </xf>
    <xf numFmtId="2" fontId="15" fillId="4" borderId="12" xfId="0" applyNumberFormat="1" applyFont="1" applyFill="1" applyBorder="1" applyAlignment="1">
      <alignment horizontal="left"/>
    </xf>
    <xf numFmtId="0" fontId="0" fillId="2" borderId="2" xfId="0" applyFill="1" applyBorder="1"/>
    <xf numFmtId="0" fontId="31" fillId="0" borderId="0" xfId="0" applyFont="1" applyAlignment="1">
      <alignment horizontal="left" vertical="top" indent="2"/>
    </xf>
    <xf numFmtId="0" fontId="15" fillId="2" borderId="11" xfId="0" applyFont="1" applyFill="1" applyBorder="1" applyAlignment="1">
      <alignment horizontal="left" vertical="top" indent="2"/>
    </xf>
    <xf numFmtId="0" fontId="15" fillId="2" borderId="1" xfId="0" applyFont="1" applyFill="1" applyBorder="1" applyAlignment="1">
      <alignment horizontal="left" vertical="top" indent="2"/>
    </xf>
    <xf numFmtId="0" fontId="11" fillId="2" borderId="10" xfId="0" applyFont="1" applyFill="1" applyBorder="1" applyAlignment="1">
      <alignment horizontal="left" vertical="top" indent="2"/>
    </xf>
    <xf numFmtId="0" fontId="31" fillId="0" borderId="0" xfId="0" applyFont="1" applyAlignment="1">
      <alignment horizontal="left" vertical="center" indent="2"/>
    </xf>
    <xf numFmtId="0" fontId="32" fillId="0" borderId="0" xfId="0" applyFont="1" applyAlignment="1">
      <alignment horizontal="left" vertical="top"/>
    </xf>
    <xf numFmtId="2" fontId="15" fillId="5" borderId="5" xfId="0" applyNumberFormat="1" applyFont="1" applyFill="1" applyBorder="1" applyAlignment="1">
      <alignment horizontal="left" vertical="center"/>
    </xf>
    <xf numFmtId="0" fontId="11" fillId="4" borderId="15" xfId="0" applyFont="1" applyFill="1" applyBorder="1" applyAlignment="1">
      <alignment horizontal="right"/>
    </xf>
    <xf numFmtId="0" fontId="12" fillId="5" borderId="1" xfId="0" applyFont="1" applyFill="1" applyBorder="1" applyAlignment="1">
      <alignment horizontal="left" vertical="center" wrapText="1"/>
    </xf>
    <xf numFmtId="0" fontId="0" fillId="2" borderId="10" xfId="0" applyFill="1" applyBorder="1"/>
    <xf numFmtId="0" fontId="15" fillId="2" borderId="10" xfId="0" applyFont="1" applyFill="1" applyBorder="1"/>
    <xf numFmtId="0" fontId="15" fillId="2" borderId="2" xfId="0" applyFont="1" applyFill="1" applyBorder="1"/>
    <xf numFmtId="0" fontId="0" fillId="2" borderId="1" xfId="0" applyFill="1" applyBorder="1"/>
    <xf numFmtId="0" fontId="0" fillId="2" borderId="3" xfId="0" applyFill="1" applyBorder="1"/>
    <xf numFmtId="0" fontId="0" fillId="5" borderId="0" xfId="0" applyFill="1"/>
    <xf numFmtId="0" fontId="0" fillId="5" borderId="2" xfId="0" applyFill="1" applyBorder="1"/>
    <xf numFmtId="0" fontId="15" fillId="5" borderId="7" xfId="0" applyFont="1" applyFill="1" applyBorder="1" applyAlignment="1">
      <alignment horizontal="left" vertical="top" indent="2"/>
    </xf>
    <xf numFmtId="14" fontId="6" fillId="5" borderId="0" xfId="0" applyNumberFormat="1" applyFont="1" applyFill="1" applyAlignment="1">
      <alignment vertical="center" wrapText="1"/>
    </xf>
    <xf numFmtId="0" fontId="1" fillId="5" borderId="0" xfId="0" applyFont="1" applyFill="1"/>
    <xf numFmtId="0" fontId="6" fillId="5" borderId="0" xfId="0" applyFont="1" applyFill="1" applyAlignment="1">
      <alignment vertical="center"/>
    </xf>
    <xf numFmtId="0" fontId="6" fillId="5" borderId="0" xfId="0" applyFont="1" applyFill="1" applyAlignment="1">
      <alignment vertical="center" wrapText="1"/>
    </xf>
    <xf numFmtId="0" fontId="38" fillId="2" borderId="0" xfId="0" applyFont="1" applyFill="1" applyAlignment="1">
      <alignment horizontal="center" vertical="center"/>
    </xf>
    <xf numFmtId="0" fontId="6" fillId="2" borderId="2" xfId="0" applyFont="1" applyFill="1" applyBorder="1" applyAlignment="1">
      <alignment vertical="center"/>
    </xf>
    <xf numFmtId="14" fontId="6" fillId="2" borderId="2" xfId="0" applyNumberFormat="1" applyFont="1" applyFill="1" applyBorder="1" applyAlignment="1">
      <alignment vertical="center" wrapText="1"/>
    </xf>
    <xf numFmtId="0" fontId="6" fillId="2" borderId="2" xfId="0" applyFont="1" applyFill="1" applyBorder="1" applyAlignment="1">
      <alignment vertical="center" wrapText="1"/>
    </xf>
    <xf numFmtId="0" fontId="0" fillId="2" borderId="11" xfId="0" applyFill="1" applyBorder="1"/>
    <xf numFmtId="0" fontId="19" fillId="2" borderId="14" xfId="0" applyFont="1" applyFill="1" applyBorder="1" applyAlignment="1">
      <alignment vertical="center" wrapText="1"/>
    </xf>
    <xf numFmtId="0" fontId="19" fillId="2" borderId="0" xfId="0" applyFont="1" applyFill="1" applyAlignment="1">
      <alignment vertical="center" wrapText="1"/>
    </xf>
    <xf numFmtId="0" fontId="7" fillId="2" borderId="2" xfId="0" applyFont="1" applyFill="1" applyBorder="1" applyAlignment="1">
      <alignment horizontal="left"/>
    </xf>
    <xf numFmtId="0" fontId="6" fillId="2" borderId="2" xfId="0" applyFont="1" applyFill="1" applyBorder="1" applyAlignment="1">
      <alignment horizontal="left" vertical="center"/>
    </xf>
    <xf numFmtId="0" fontId="9" fillId="2" borderId="2" xfId="0" applyFont="1" applyFill="1" applyBorder="1"/>
    <xf numFmtId="0" fontId="21" fillId="0" borderId="2" xfId="0" applyFont="1" applyBorder="1"/>
    <xf numFmtId="0" fontId="22" fillId="2" borderId="2" xfId="0" applyFont="1" applyFill="1" applyBorder="1"/>
    <xf numFmtId="0" fontId="39" fillId="5" borderId="0" xfId="0" applyFont="1" applyFill="1"/>
    <xf numFmtId="14" fontId="40" fillId="5" borderId="0" xfId="0" applyNumberFormat="1" applyFont="1" applyFill="1" applyAlignment="1">
      <alignment vertical="center" wrapText="1"/>
    </xf>
    <xf numFmtId="0" fontId="40" fillId="5" borderId="0" xfId="0" applyFont="1" applyFill="1" applyAlignment="1">
      <alignment vertical="center"/>
    </xf>
    <xf numFmtId="0" fontId="40" fillId="5" borderId="0" xfId="0" applyFont="1" applyFill="1" applyAlignment="1">
      <alignment vertical="center" wrapText="1"/>
    </xf>
    <xf numFmtId="0" fontId="39" fillId="5" borderId="2" xfId="0" applyFont="1" applyFill="1" applyBorder="1"/>
    <xf numFmtId="0" fontId="23" fillId="2" borderId="2" xfId="0" applyFont="1" applyFill="1" applyBorder="1"/>
    <xf numFmtId="0" fontId="23" fillId="5" borderId="0" xfId="0" applyFont="1" applyFill="1"/>
    <xf numFmtId="0" fontId="9" fillId="5" borderId="0" xfId="0" applyFont="1" applyFill="1"/>
    <xf numFmtId="0" fontId="8" fillId="2" borderId="2" xfId="0" applyFont="1" applyFill="1" applyBorder="1" applyAlignment="1">
      <alignment horizontal="left"/>
    </xf>
    <xf numFmtId="0" fontId="6" fillId="2" borderId="2" xfId="0" applyFont="1" applyFill="1" applyBorder="1" applyAlignment="1">
      <alignment horizontal="left"/>
    </xf>
    <xf numFmtId="0" fontId="15" fillId="2" borderId="0" xfId="0" applyFont="1" applyFill="1" applyAlignment="1">
      <alignment horizontal="center"/>
    </xf>
    <xf numFmtId="0" fontId="8" fillId="5" borderId="0" xfId="0" applyFont="1" applyFill="1" applyAlignment="1">
      <alignment horizontal="left"/>
    </xf>
    <xf numFmtId="0" fontId="7" fillId="5" borderId="0" xfId="0" applyFont="1" applyFill="1" applyAlignment="1">
      <alignment horizontal="left"/>
    </xf>
    <xf numFmtId="0" fontId="6" fillId="5" borderId="0" xfId="0" applyFont="1" applyFill="1" applyAlignment="1">
      <alignment horizontal="left"/>
    </xf>
    <xf numFmtId="0" fontId="6" fillId="5" borderId="0" xfId="0" applyFont="1" applyFill="1" applyAlignment="1">
      <alignment horizontal="left" vertical="center"/>
    </xf>
    <xf numFmtId="0" fontId="14" fillId="5" borderId="0" xfId="0" applyFont="1" applyFill="1" applyAlignment="1">
      <alignment horizontal="left"/>
    </xf>
    <xf numFmtId="0" fontId="14" fillId="5" borderId="0" xfId="0" applyFont="1" applyFill="1" applyAlignment="1">
      <alignment vertical="center"/>
    </xf>
    <xf numFmtId="0" fontId="14" fillId="5" borderId="0" xfId="0" applyFont="1" applyFill="1" applyAlignment="1">
      <alignment vertical="center" wrapText="1"/>
    </xf>
    <xf numFmtId="0" fontId="15" fillId="2" borderId="1" xfId="0" applyFont="1" applyFill="1" applyBorder="1" applyAlignment="1">
      <alignment horizontal="left" vertical="center"/>
    </xf>
    <xf numFmtId="2" fontId="15" fillId="2" borderId="1" xfId="0" applyNumberFormat="1" applyFont="1" applyFill="1" applyBorder="1" applyAlignment="1">
      <alignment horizontal="left" vertical="center"/>
    </xf>
    <xf numFmtId="0" fontId="15" fillId="2" borderId="1" xfId="0" applyFont="1" applyFill="1" applyBorder="1"/>
    <xf numFmtId="2" fontId="11" fillId="4" borderId="20" xfId="0" applyNumberFormat="1" applyFont="1" applyFill="1" applyBorder="1" applyAlignment="1">
      <alignment horizontal="right"/>
    </xf>
    <xf numFmtId="2" fontId="15" fillId="4" borderId="0" xfId="0" applyNumberFormat="1" applyFont="1" applyFill="1" applyAlignment="1">
      <alignment horizontal="left"/>
    </xf>
    <xf numFmtId="2" fontId="15" fillId="4" borderId="15" xfId="0" applyNumberFormat="1" applyFont="1" applyFill="1" applyBorder="1" applyAlignment="1">
      <alignment horizontal="left"/>
    </xf>
    <xf numFmtId="2" fontId="15" fillId="3" borderId="21" xfId="0" applyNumberFormat="1" applyFont="1" applyFill="1" applyBorder="1" applyAlignment="1" applyProtection="1">
      <alignment horizontal="left"/>
      <protection locked="0"/>
    </xf>
    <xf numFmtId="0" fontId="0" fillId="2" borderId="0" xfId="0" applyFill="1" applyAlignment="1">
      <alignment horizontal="left" vertical="center"/>
    </xf>
    <xf numFmtId="0" fontId="15" fillId="5" borderId="2" xfId="0" applyFont="1" applyFill="1" applyBorder="1" applyAlignment="1">
      <alignment horizontal="left" vertical="center" wrapText="1"/>
    </xf>
    <xf numFmtId="0" fontId="15" fillId="5" borderId="2" xfId="0" applyFont="1" applyFill="1" applyBorder="1" applyAlignment="1" applyProtection="1">
      <alignment horizontal="left" vertical="center"/>
      <protection hidden="1"/>
    </xf>
    <xf numFmtId="2" fontId="13" fillId="5" borderId="5" xfId="0" applyNumberFormat="1" applyFont="1" applyFill="1" applyBorder="1" applyAlignment="1">
      <alignment horizontal="left" vertical="center"/>
    </xf>
    <xf numFmtId="2" fontId="13" fillId="5" borderId="0" xfId="0" applyNumberFormat="1" applyFont="1" applyFill="1" applyAlignment="1">
      <alignment horizontal="left" vertical="center"/>
    </xf>
    <xf numFmtId="2" fontId="3" fillId="5" borderId="5" xfId="0" applyNumberFormat="1" applyFont="1" applyFill="1" applyBorder="1" applyAlignment="1">
      <alignment horizontal="left" vertical="center"/>
    </xf>
    <xf numFmtId="2" fontId="13" fillId="5" borderId="2" xfId="0" applyNumberFormat="1" applyFont="1" applyFill="1" applyBorder="1" applyAlignment="1">
      <alignment horizontal="left" vertical="center"/>
    </xf>
    <xf numFmtId="2" fontId="13" fillId="2" borderId="0" xfId="0" applyNumberFormat="1" applyFont="1" applyFill="1" applyAlignment="1">
      <alignment horizontal="left" vertical="center"/>
    </xf>
    <xf numFmtId="0" fontId="0" fillId="5" borderId="0" xfId="0" applyFill="1" applyAlignment="1">
      <alignment horizontal="left" vertical="center"/>
    </xf>
    <xf numFmtId="0" fontId="11" fillId="5" borderId="3" xfId="0" applyFont="1" applyFill="1" applyBorder="1" applyAlignment="1">
      <alignment horizontal="left" vertical="center"/>
    </xf>
    <xf numFmtId="0" fontId="15" fillId="5" borderId="7" xfId="0" applyFont="1" applyFill="1" applyBorder="1" applyAlignment="1">
      <alignment horizontal="left" vertical="center"/>
    </xf>
    <xf numFmtId="2" fontId="15" fillId="4" borderId="18" xfId="0" applyNumberFormat="1" applyFont="1" applyFill="1" applyBorder="1" applyAlignment="1">
      <alignment horizontal="left"/>
    </xf>
    <xf numFmtId="2" fontId="15" fillId="5" borderId="23" xfId="0" applyNumberFormat="1" applyFont="1" applyFill="1" applyBorder="1" applyAlignment="1">
      <alignment horizontal="left" vertical="center"/>
    </xf>
    <xf numFmtId="2" fontId="16" fillId="5" borderId="5" xfId="0" applyNumberFormat="1" applyFont="1" applyFill="1" applyBorder="1" applyAlignment="1">
      <alignment horizontal="left" vertical="center"/>
    </xf>
    <xf numFmtId="0" fontId="0" fillId="5" borderId="15" xfId="0" applyFill="1" applyBorder="1"/>
    <xf numFmtId="0" fontId="29" fillId="2" borderId="0" xfId="0" applyFont="1" applyFill="1" applyAlignment="1">
      <alignment wrapText="1"/>
    </xf>
    <xf numFmtId="0" fontId="15" fillId="2" borderId="10" xfId="0" applyFont="1" applyFill="1" applyBorder="1" applyAlignment="1">
      <alignment horizontal="left" vertical="top" indent="2"/>
    </xf>
    <xf numFmtId="0" fontId="15" fillId="2" borderId="10" xfId="0" applyFont="1" applyFill="1" applyBorder="1" applyAlignment="1">
      <alignment horizontal="left" vertical="top" wrapText="1" indent="2"/>
    </xf>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9" xfId="0" applyFill="1" applyBorder="1"/>
    <xf numFmtId="0" fontId="0" fillId="2" borderId="10" xfId="0"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5"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41" fillId="5" borderId="0" xfId="1" applyFont="1" applyFill="1" applyBorder="1"/>
    <xf numFmtId="0" fontId="41" fillId="5" borderId="0" xfId="1" quotePrefix="1" applyFont="1" applyFill="1" applyBorder="1"/>
    <xf numFmtId="0" fontId="15" fillId="2" borderId="0" xfId="0" applyFont="1" applyFill="1" applyAlignment="1">
      <alignment horizontal="left" vertical="top" indent="2"/>
    </xf>
    <xf numFmtId="0" fontId="15" fillId="2" borderId="0" xfId="0" applyFont="1" applyFill="1" applyAlignment="1">
      <alignment horizontal="left" vertical="top" wrapText="1" indent="2"/>
    </xf>
    <xf numFmtId="0" fontId="15" fillId="5" borderId="0" xfId="0" applyFont="1" applyFill="1" applyAlignment="1">
      <alignment horizontal="left" vertical="top" indent="2"/>
    </xf>
    <xf numFmtId="0" fontId="0" fillId="5" borderId="7" xfId="0" applyFill="1" applyBorder="1"/>
    <xf numFmtId="2" fontId="15" fillId="4" borderId="16" xfId="0" applyNumberFormat="1" applyFont="1" applyFill="1" applyBorder="1" applyAlignment="1">
      <alignment horizontal="left"/>
    </xf>
    <xf numFmtId="2" fontId="15" fillId="4" borderId="22" xfId="0" applyNumberFormat="1" applyFont="1" applyFill="1" applyBorder="1" applyAlignment="1">
      <alignment horizontal="left"/>
    </xf>
    <xf numFmtId="0" fontId="16" fillId="0" borderId="11" xfId="0" applyFont="1" applyBorder="1" applyAlignment="1">
      <alignment horizontal="left" vertical="top" wrapText="1" indent="2"/>
    </xf>
    <xf numFmtId="0" fontId="16" fillId="0" borderId="1" xfId="0" applyFont="1" applyBorder="1" applyAlignment="1">
      <alignment horizontal="left" vertical="top" wrapText="1" indent="2"/>
    </xf>
    <xf numFmtId="0" fontId="37" fillId="6" borderId="8" xfId="0" applyFont="1" applyFill="1" applyBorder="1" applyAlignment="1">
      <alignment horizontal="left" vertical="center" indent="2"/>
    </xf>
    <xf numFmtId="0" fontId="37" fillId="6" borderId="7" xfId="0" applyFont="1" applyFill="1" applyBorder="1" applyAlignment="1">
      <alignment horizontal="left" vertical="center" indent="2"/>
    </xf>
    <xf numFmtId="0" fontId="37" fillId="6" borderId="9" xfId="0" applyFont="1" applyFill="1" applyBorder="1" applyAlignment="1">
      <alignment horizontal="left" vertical="center" indent="2"/>
    </xf>
    <xf numFmtId="0" fontId="37" fillId="6" borderId="10" xfId="0" applyFont="1" applyFill="1" applyBorder="1" applyAlignment="1">
      <alignment horizontal="left" vertical="center" indent="2"/>
    </xf>
    <xf numFmtId="0" fontId="37" fillId="6" borderId="0" xfId="0" applyFont="1" applyFill="1" applyAlignment="1">
      <alignment horizontal="left" vertical="center" indent="2"/>
    </xf>
    <xf numFmtId="0" fontId="37" fillId="6" borderId="2" xfId="0" applyFont="1" applyFill="1" applyBorder="1" applyAlignment="1">
      <alignment horizontal="left" vertical="center" indent="2"/>
    </xf>
    <xf numFmtId="0" fontId="15" fillId="2" borderId="10" xfId="0" applyFont="1" applyFill="1" applyBorder="1" applyAlignment="1">
      <alignment horizontal="left" wrapText="1" indent="2"/>
    </xf>
    <xf numFmtId="0" fontId="15" fillId="2" borderId="0" xfId="0" applyFont="1" applyFill="1" applyAlignment="1">
      <alignment horizontal="left" wrapText="1" indent="2"/>
    </xf>
    <xf numFmtId="0" fontId="16" fillId="0" borderId="10" xfId="0" applyFont="1" applyBorder="1" applyAlignment="1">
      <alignment horizontal="left" wrapText="1" indent="2"/>
    </xf>
    <xf numFmtId="0" fontId="16" fillId="0" borderId="0" xfId="0" applyFont="1" applyAlignment="1">
      <alignment horizontal="left" wrapText="1" indent="2"/>
    </xf>
    <xf numFmtId="0" fontId="16" fillId="2" borderId="10" xfId="0" applyFont="1" applyFill="1" applyBorder="1" applyAlignment="1">
      <alignment horizontal="left" wrapText="1" indent="2"/>
    </xf>
    <xf numFmtId="0" fontId="16" fillId="2" borderId="0" xfId="0" applyFont="1" applyFill="1" applyAlignment="1">
      <alignment horizontal="left" wrapText="1" indent="2"/>
    </xf>
    <xf numFmtId="0" fontId="34" fillId="6" borderId="0" xfId="0" applyFont="1" applyFill="1" applyAlignment="1">
      <alignment horizontal="left" vertical="center" indent="2"/>
    </xf>
    <xf numFmtId="0" fontId="33" fillId="2" borderId="0" xfId="1" applyFont="1" applyFill="1" applyAlignment="1" applyProtection="1">
      <protection locked="0"/>
    </xf>
    <xf numFmtId="0" fontId="15" fillId="2" borderId="10" xfId="0" applyFont="1" applyFill="1" applyBorder="1" applyAlignment="1">
      <alignment horizontal="left" vertical="top" indent="2"/>
    </xf>
    <xf numFmtId="0" fontId="15" fillId="2" borderId="0" xfId="0" applyFont="1" applyFill="1" applyAlignment="1">
      <alignment horizontal="left" vertical="top" indent="2"/>
    </xf>
    <xf numFmtId="0" fontId="15" fillId="2" borderId="10" xfId="0" applyFont="1" applyFill="1" applyBorder="1" applyAlignment="1">
      <alignment horizontal="left" vertical="top" wrapText="1" indent="2"/>
    </xf>
    <xf numFmtId="0" fontId="15" fillId="2" borderId="0" xfId="0" applyFont="1" applyFill="1" applyAlignment="1">
      <alignment horizontal="left" vertical="top" wrapText="1" indent="2"/>
    </xf>
    <xf numFmtId="0" fontId="11" fillId="2" borderId="10" xfId="0" applyFont="1" applyFill="1" applyBorder="1" applyAlignment="1">
      <alignment horizontal="left" vertical="top" wrapText="1" indent="2"/>
    </xf>
    <xf numFmtId="0" fontId="11" fillId="2" borderId="0" xfId="0" applyFont="1" applyFill="1" applyAlignment="1">
      <alignment horizontal="left" vertical="top" wrapText="1" indent="2"/>
    </xf>
    <xf numFmtId="0" fontId="33" fillId="0" borderId="0" xfId="1" applyFont="1" applyAlignment="1">
      <alignment horizontal="left"/>
    </xf>
    <xf numFmtId="0" fontId="11" fillId="2" borderId="2" xfId="0" applyFont="1" applyFill="1" applyBorder="1" applyAlignment="1">
      <alignment horizontal="left" vertical="top" wrapText="1" indent="2"/>
    </xf>
    <xf numFmtId="0" fontId="31" fillId="0" borderId="10" xfId="0" applyFont="1" applyBorder="1" applyAlignment="1">
      <alignment horizontal="left" vertical="center" indent="2"/>
    </xf>
    <xf numFmtId="0" fontId="31" fillId="0" borderId="0" xfId="0" applyFont="1" applyAlignment="1">
      <alignment horizontal="left" vertical="center" indent="2"/>
    </xf>
    <xf numFmtId="0" fontId="33" fillId="0" borderId="0" xfId="1" applyFont="1" applyAlignment="1" applyProtection="1">
      <protection locked="0"/>
    </xf>
    <xf numFmtId="0" fontId="16" fillId="2" borderId="0" xfId="0" applyFont="1" applyFill="1" applyAlignment="1">
      <alignment horizontal="left" vertical="top" wrapText="1" indent="2"/>
    </xf>
    <xf numFmtId="0" fontId="32" fillId="0" borderId="10" xfId="0" applyFont="1" applyBorder="1" applyAlignment="1">
      <alignment horizontal="left" vertical="top" indent="2"/>
    </xf>
    <xf numFmtId="0" fontId="32" fillId="0" borderId="0" xfId="0" applyFont="1" applyAlignment="1">
      <alignment horizontal="left" vertical="top" indent="2"/>
    </xf>
    <xf numFmtId="0" fontId="16" fillId="0" borderId="10" xfId="0" applyFont="1" applyBorder="1" applyAlignment="1">
      <alignment horizontal="left" vertical="top" indent="2"/>
    </xf>
    <xf numFmtId="0" fontId="16" fillId="0" borderId="0" xfId="0" applyFont="1" applyAlignment="1">
      <alignment horizontal="left" vertical="top" indent="2"/>
    </xf>
    <xf numFmtId="0" fontId="16" fillId="0" borderId="0" xfId="0" applyFont="1" applyAlignment="1">
      <alignment horizontal="left" vertical="top" wrapText="1" indent="2"/>
    </xf>
    <xf numFmtId="14" fontId="15" fillId="3" borderId="12" xfId="0" applyNumberFormat="1"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13" xfId="0" applyFont="1" applyFill="1" applyBorder="1" applyAlignment="1" applyProtection="1">
      <alignment horizontal="left" vertical="center" wrapText="1"/>
      <protection locked="0"/>
    </xf>
    <xf numFmtId="0" fontId="37" fillId="6" borderId="10" xfId="0" applyFont="1" applyFill="1" applyBorder="1" applyAlignment="1">
      <alignment horizontal="left" vertical="center" indent="3"/>
    </xf>
    <xf numFmtId="0" fontId="37" fillId="6" borderId="0" xfId="0" applyFont="1" applyFill="1" applyAlignment="1">
      <alignment horizontal="left" vertical="center" indent="3"/>
    </xf>
    <xf numFmtId="0" fontId="37" fillId="6" borderId="2" xfId="0" applyFont="1" applyFill="1" applyBorder="1" applyAlignment="1">
      <alignment horizontal="left" vertical="center" indent="3"/>
    </xf>
    <xf numFmtId="0" fontId="28" fillId="2" borderId="0" xfId="0" applyFont="1" applyFill="1" applyAlignment="1">
      <alignment horizontal="center"/>
    </xf>
    <xf numFmtId="0" fontId="11" fillId="2" borderId="0" xfId="0" applyFont="1" applyFill="1" applyAlignment="1">
      <alignment horizontal="center" vertical="center" wrapText="1"/>
    </xf>
    <xf numFmtId="0" fontId="36" fillId="2" borderId="0" xfId="0" applyFont="1" applyFill="1" applyAlignment="1">
      <alignment horizontal="center"/>
    </xf>
    <xf numFmtId="0" fontId="12" fillId="2" borderId="0" xfId="0" applyFont="1" applyFill="1" applyAlignment="1">
      <alignment horizontal="left" vertical="center" wrapText="1"/>
    </xf>
    <xf numFmtId="0" fontId="11" fillId="2" borderId="12" xfId="0" applyFont="1" applyFill="1" applyBorder="1" applyAlignment="1">
      <alignment horizontal="left"/>
    </xf>
    <xf numFmtId="0" fontId="12" fillId="2" borderId="14" xfId="0" applyFont="1" applyFill="1" applyBorder="1" applyAlignment="1">
      <alignment horizontal="left" vertical="center" wrapText="1"/>
    </xf>
    <xf numFmtId="0" fontId="36" fillId="2" borderId="0" xfId="0" applyFont="1" applyFill="1" applyAlignment="1">
      <alignment horizontal="center" vertical="center"/>
    </xf>
    <xf numFmtId="0" fontId="37" fillId="6" borderId="8" xfId="0" applyFont="1" applyFill="1" applyBorder="1" applyAlignment="1">
      <alignment horizontal="left" vertical="center" indent="3"/>
    </xf>
    <xf numFmtId="0" fontId="37" fillId="6" borderId="7" xfId="0" applyFont="1" applyFill="1" applyBorder="1" applyAlignment="1">
      <alignment horizontal="left" vertical="center" indent="3"/>
    </xf>
    <xf numFmtId="0" fontId="37" fillId="6" borderId="9" xfId="0" applyFont="1" applyFill="1" applyBorder="1" applyAlignment="1">
      <alignment horizontal="left" vertical="center" indent="3"/>
    </xf>
    <xf numFmtId="0" fontId="25" fillId="2" borderId="0" xfId="0" applyFont="1" applyFill="1" applyAlignment="1">
      <alignment horizontal="center" vertical="top"/>
    </xf>
    <xf numFmtId="0" fontId="11" fillId="2" borderId="0" xfId="0" applyFont="1" applyFill="1" applyAlignment="1">
      <alignment horizontal="left" vertical="center" wrapText="1"/>
    </xf>
    <xf numFmtId="2" fontId="20" fillId="2" borderId="0" xfId="0" applyNumberFormat="1" applyFont="1" applyFill="1" applyAlignment="1">
      <alignment horizontal="center" vertical="center"/>
    </xf>
    <xf numFmtId="2" fontId="20" fillId="4" borderId="0" xfId="0" applyNumberFormat="1" applyFont="1" applyFill="1" applyAlignment="1">
      <alignment horizontal="center" vertical="center"/>
    </xf>
  </cellXfs>
  <cellStyles count="2">
    <cellStyle name="Hyperlink" xfId="1" builtinId="8"/>
    <cellStyle name="Normal" xfId="0" builtinId="0"/>
  </cellStyles>
  <dxfs count="10">
    <dxf>
      <fill>
        <patternFill>
          <bgColor rgb="FFF7E8BE"/>
        </patternFill>
      </fill>
    </dxf>
    <dxf>
      <fill>
        <patternFill>
          <bgColor rgb="FFF7E8BE"/>
        </patternFill>
      </fill>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natural-england" TargetMode="External"/><Relationship Id="rId7" Type="http://schemas.openxmlformats.org/officeDocument/2006/relationships/hyperlink" Target="http://www.geograph.org.uk/photo/706934" TargetMode="External"/><Relationship Id="rId2" Type="http://schemas.openxmlformats.org/officeDocument/2006/relationships/image" Target="../media/image1.png"/><Relationship Id="rId1" Type="http://schemas.openxmlformats.org/officeDocument/2006/relationships/hyperlink" Target="https://ee.ricardo.com/" TargetMode="External"/><Relationship Id="rId6" Type="http://schemas.openxmlformats.org/officeDocument/2006/relationships/image" Target="../media/image3.jpg"/><Relationship Id="rId5" Type="http://schemas.openxmlformats.org/officeDocument/2006/relationships/hyperlink" Target="#'River Clun SAC'!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349671</xdr:colOff>
      <xdr:row>4</xdr:row>
      <xdr:rowOff>279106</xdr:rowOff>
    </xdr:to>
    <xdr:pic>
      <xdr:nvPicPr>
        <xdr:cNvPr id="7" name="Picture 6">
          <a:hlinkClick xmlns:r="http://schemas.openxmlformats.org/officeDocument/2006/relationships" r:id="rId1"/>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177800</xdr:colOff>
      <xdr:row>4</xdr:row>
      <xdr:rowOff>237335</xdr:rowOff>
    </xdr:to>
    <xdr:pic>
      <xdr:nvPicPr>
        <xdr:cNvPr id="10" name="Picture 9">
          <a:hlinkClick xmlns:r="http://schemas.openxmlformats.org/officeDocument/2006/relationships" r:id="rId3"/>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247649</xdr:colOff>
      <xdr:row>8</xdr:row>
      <xdr:rowOff>314326</xdr:rowOff>
    </xdr:from>
    <xdr:to>
      <xdr:col>9</xdr:col>
      <xdr:colOff>28575</xdr:colOff>
      <xdr:row>9</xdr:row>
      <xdr:rowOff>348376</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DA266339-9600-4E62-B26B-3BF11ACB0CB9}"/>
            </a:ext>
          </a:extLst>
        </xdr:cNvPr>
        <xdr:cNvSpPr txBox="1"/>
      </xdr:nvSpPr>
      <xdr:spPr>
        <a:xfrm>
          <a:off x="1390649" y="3209926"/>
          <a:ext cx="2066926"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River Clun SAC</a:t>
          </a:r>
        </a:p>
        <a:p>
          <a:pPr algn="ctr"/>
          <a:endParaRPr lang="en-GB" sz="1800" b="1">
            <a:solidFill>
              <a:srgbClr val="449669"/>
            </a:solidFill>
            <a:effectLst/>
            <a:latin typeface="Century Gothic" panose="020B0502020202020204" pitchFamily="34" charset="0"/>
            <a:ea typeface="+mn-ea"/>
            <a:cs typeface="+mn-cs"/>
          </a:endParaRP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editAs="oneCell">
    <xdr:from>
      <xdr:col>11</xdr:col>
      <xdr:colOff>352474</xdr:colOff>
      <xdr:row>1</xdr:row>
      <xdr:rowOff>198309</xdr:rowOff>
    </xdr:from>
    <xdr:to>
      <xdr:col>19</xdr:col>
      <xdr:colOff>123824</xdr:colOff>
      <xdr:row>10</xdr:row>
      <xdr:rowOff>198025</xdr:rowOff>
    </xdr:to>
    <xdr:pic>
      <xdr:nvPicPr>
        <xdr:cNvPr id="12" name="Picture 11">
          <a:extLst>
            <a:ext uri="{FF2B5EF4-FFF2-40B4-BE49-F238E27FC236}">
              <a16:creationId xmlns:a16="http://schemas.microsoft.com/office/drawing/2014/main" id="{D14C23C2-8755-46A0-B5ED-694153E2556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 uri="{837473B0-CC2E-450A-ABE3-18F120FF3D39}">
              <a1611:picAttrSrcUrl xmlns:a1611="http://schemas.microsoft.com/office/drawing/2016/11/main" xmlns="" r:id="rId7"/>
            </a:ext>
          </a:extLst>
        </a:blip>
        <a:srcRect/>
        <a:stretch/>
      </xdr:blipFill>
      <xdr:spPr bwMode="auto">
        <a:xfrm>
          <a:off x="4648249" y="560259"/>
          <a:ext cx="4556075" cy="3260441"/>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D211754A-8565-4EB7-B2F9-92AE0FAB89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D03C3C72-724A-4B26-8AEC-4F3FFD832064}"/>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2603</xdr:colOff>
      <xdr:row>4</xdr:row>
      <xdr:rowOff>11736</xdr:rowOff>
    </xdr:from>
    <xdr:to>
      <xdr:col>26</xdr:col>
      <xdr:colOff>0</xdr:colOff>
      <xdr:row>21</xdr:row>
      <xdr:rowOff>3174</xdr:rowOff>
    </xdr:to>
    <xdr:pic>
      <xdr:nvPicPr>
        <xdr:cNvPr id="2" name="Picture 1">
          <a:extLst>
            <a:ext uri="{FF2B5EF4-FFF2-40B4-BE49-F238E27FC236}">
              <a16:creationId xmlns:a16="http://schemas.microsoft.com/office/drawing/2014/main" id="{351F7B3A-5258-4094-BC1B-5E079E903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46528" y="764211"/>
          <a:ext cx="7550722" cy="5287338"/>
        </a:xfrm>
        <a:prstGeom prst="rect">
          <a:avLst/>
        </a:prstGeom>
        <a:ln w="38100">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 name="TextBox 7">
          <a:extLst>
            <a:ext uri="{FF2B5EF4-FFF2-40B4-BE49-F238E27FC236}">
              <a16:creationId xmlns:a16="http://schemas.microsoft.com/office/drawing/2014/main" id="{35E1A19B-A158-497A-B1DD-B7C0C26CAB83}"/>
            </a:ext>
          </a:extLst>
        </xdr:cNvPr>
        <xdr:cNvSpPr txBox="1"/>
      </xdr:nvSpPr>
      <xdr:spPr>
        <a:xfrm>
          <a:off x="2142766" y="2498324"/>
          <a:ext cx="1108094"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3" name="TextBox 14">
          <a:extLst>
            <a:ext uri="{FF2B5EF4-FFF2-40B4-BE49-F238E27FC236}">
              <a16:creationId xmlns:a16="http://schemas.microsoft.com/office/drawing/2014/main" id="{9D235A8E-5CCE-49DD-8A67-925B4F95111A}"/>
            </a:ext>
          </a:extLst>
        </xdr:cNvPr>
        <xdr:cNvSpPr txBox="1"/>
      </xdr:nvSpPr>
      <xdr:spPr>
        <a:xfrm>
          <a:off x="3401320" y="2507849"/>
          <a:ext cx="1109560"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B11C1CBC-DB59-42B3-849C-4A6051FAB592}"/>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5" name="TextBox 16">
          <a:extLst>
            <a:ext uri="{FF2B5EF4-FFF2-40B4-BE49-F238E27FC236}">
              <a16:creationId xmlns:a16="http://schemas.microsoft.com/office/drawing/2014/main" id="{38C3B82C-BC09-4DCC-8E0B-B3550EF9DBA7}"/>
            </a:ext>
          </a:extLst>
        </xdr:cNvPr>
        <xdr:cNvSpPr txBox="1"/>
      </xdr:nvSpPr>
      <xdr:spPr>
        <a:xfrm>
          <a:off x="5941138" y="2520549"/>
          <a:ext cx="1108095" cy="55372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01AA4F0A-2D82-401E-B4E7-8D53D73AC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0956B53F-58A3-4B8B-B252-8E2E24618E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8B5E5537-0BA7-414E-B5A3-A0EAED6B30F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B779D576-E459-480D-B12E-D5A56FF766B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66</xdr:row>
      <xdr:rowOff>99703</xdr:rowOff>
    </xdr:from>
    <xdr:to>
      <xdr:col>12</xdr:col>
      <xdr:colOff>523876</xdr:colOff>
      <xdr:row>70</xdr:row>
      <xdr:rowOff>256081</xdr:rowOff>
    </xdr:to>
    <xdr:pic>
      <xdr:nvPicPr>
        <xdr:cNvPr id="10" name="Picture 9">
          <a:extLst>
            <a:ext uri="{FF2B5EF4-FFF2-40B4-BE49-F238E27FC236}">
              <a16:creationId xmlns:a16="http://schemas.microsoft.com/office/drawing/2014/main" id="{7771DBDA-1E42-4606-9767-EBE2DCE1A4B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F889AE79-83B6-451E-8B2F-D0A9D1F67F79}"/>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5405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5:Y12"/>
  <sheetViews>
    <sheetView showGridLines="0" showRowColHeaders="0" tabSelected="1" zoomScaleNormal="100" workbookViewId="0">
      <selection activeCell="J14" sqref="J14"/>
    </sheetView>
  </sheetViews>
  <sheetFormatPr defaultColWidth="5.7265625" defaultRowHeight="28.5" customHeight="1" x14ac:dyDescent="0.35"/>
  <cols>
    <col min="1" max="12" width="5.7265625" style="2"/>
    <col min="13" max="13" width="30.26953125" style="2" bestFit="1" customWidth="1"/>
    <col min="14" max="14" width="5.7265625" style="2"/>
    <col min="15" max="15" width="4.54296875" style="2" customWidth="1"/>
    <col min="16" max="20" width="5.7265625" style="2"/>
    <col min="21" max="21" width="5.7265625" style="2" customWidth="1"/>
    <col min="22" max="16384" width="5.7265625" style="2"/>
  </cols>
  <sheetData>
    <row r="5" spans="13:25" ht="28.5" customHeight="1" x14ac:dyDescent="0.35">
      <c r="Y5"/>
    </row>
    <row r="11" spans="13:25" ht="18" customHeight="1" x14ac:dyDescent="0.35"/>
    <row r="12" spans="13:25" ht="22" x14ac:dyDescent="0.35">
      <c r="M12" s="196" t="s">
        <v>0</v>
      </c>
    </row>
  </sheetData>
  <sheetProtection algorithmName="SHA-512" hashValue="1cap25gEPL/ijfsA3lvk/E5+lXsDgc39/9sIycb9pA/r2D7rujBACwqm6XiYlb+Q2xcUgDPZ+ANJhC1KZLKtJA==" saltValue="gS4sQxNicfpN48FBQ8bseg=="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K33"/>
  <sheetViews>
    <sheetView topLeftCell="A10" workbookViewId="0">
      <selection activeCell="C16" sqref="C16"/>
    </sheetView>
  </sheetViews>
  <sheetFormatPr defaultColWidth="9.1796875" defaultRowHeight="14.5" x14ac:dyDescent="0.35"/>
  <cols>
    <col min="1" max="1" width="9.1796875" style="1"/>
    <col min="2" max="2" width="27.81640625" style="1" customWidth="1"/>
    <col min="3" max="3" width="26.81640625" style="1" customWidth="1"/>
    <col min="4" max="4" width="9.1796875" style="1"/>
    <col min="5" max="5" width="15" style="1" customWidth="1"/>
    <col min="6" max="6" width="12.54296875" style="1" customWidth="1"/>
    <col min="7" max="9" width="9.1796875" style="1"/>
    <col min="10" max="10" width="7.1796875" style="1" customWidth="1"/>
    <col min="11" max="16384" width="9.1796875" style="1"/>
  </cols>
  <sheetData>
    <row r="6" spans="2:11" ht="16.5" x14ac:dyDescent="0.35">
      <c r="K6" s="6"/>
    </row>
    <row r="7" spans="2:11" ht="18" customHeight="1" x14ac:dyDescent="0.5">
      <c r="F7" s="4"/>
      <c r="G7" s="5"/>
      <c r="H7" s="5"/>
      <c r="I7" s="4"/>
      <c r="K7" s="7"/>
    </row>
    <row r="8" spans="2:11" ht="12" customHeight="1" x14ac:dyDescent="0.5">
      <c r="F8" s="3"/>
      <c r="G8" s="3"/>
      <c r="H8" s="3"/>
      <c r="I8" s="9"/>
      <c r="K8" s="7"/>
    </row>
    <row r="9" spans="2:11" ht="17" thickBot="1" x14ac:dyDescent="0.55000000000000004">
      <c r="B9" s="14" t="s">
        <v>118</v>
      </c>
      <c r="D9" s="22"/>
      <c r="E9" s="266" t="s">
        <v>128</v>
      </c>
      <c r="G9" s="3"/>
      <c r="H9" s="3"/>
      <c r="I9" s="9"/>
      <c r="K9" s="7"/>
    </row>
    <row r="10" spans="2:11" ht="21" customHeight="1" thickTop="1" thickBot="1" x14ac:dyDescent="0.55000000000000004">
      <c r="B10" s="15" t="s">
        <v>119</v>
      </c>
      <c r="D10" s="24"/>
      <c r="E10" s="266"/>
      <c r="G10" s="3"/>
      <c r="H10" s="3" t="s">
        <v>129</v>
      </c>
      <c r="I10" s="9"/>
      <c r="J10" s="6"/>
      <c r="K10" s="8"/>
    </row>
    <row r="11" spans="2:11" ht="17.5" thickTop="1" thickBot="1" x14ac:dyDescent="0.4">
      <c r="B11" s="16" t="s">
        <v>120</v>
      </c>
      <c r="D11" s="25"/>
      <c r="E11" s="266"/>
      <c r="G11" s="7"/>
      <c r="H11" s="7" t="e">
        <f>IF(C33&lt;0,"Well done, you're in the clear…,""")</f>
        <v>#VALUE!</v>
      </c>
      <c r="I11" s="7"/>
      <c r="J11" s="7"/>
      <c r="K11" s="8"/>
    </row>
    <row r="12" spans="2:11" ht="29.25" customHeight="1" thickTop="1" x14ac:dyDescent="0.35">
      <c r="B12" s="17" t="s">
        <v>121</v>
      </c>
      <c r="D12" s="26"/>
      <c r="E12" s="266"/>
      <c r="G12" s="8"/>
      <c r="H12" s="8" t="s">
        <v>130</v>
      </c>
      <c r="I12" s="8"/>
      <c r="J12" s="8"/>
    </row>
    <row r="13" spans="2:11" ht="11.25" customHeight="1" x14ac:dyDescent="0.35">
      <c r="B13" s="22"/>
      <c r="C13" s="22"/>
      <c r="D13" s="22"/>
      <c r="E13" s="22"/>
      <c r="F13" s="55"/>
    </row>
    <row r="14" spans="2:11" x14ac:dyDescent="0.35">
      <c r="B14" s="22"/>
      <c r="C14" s="22"/>
      <c r="D14" s="22"/>
      <c r="E14" s="22"/>
      <c r="F14" s="55"/>
    </row>
    <row r="15" spans="2:11" ht="15" thickBot="1" x14ac:dyDescent="0.4">
      <c r="B15" s="14" t="s">
        <v>122</v>
      </c>
      <c r="C15" s="52" t="str">
        <f>'Stage 1'!D34</f>
        <v/>
      </c>
      <c r="D15" s="22"/>
      <c r="E15" s="266" t="s">
        <v>131</v>
      </c>
    </row>
    <row r="16" spans="2:11" ht="15.5" thickTop="1" thickBot="1" x14ac:dyDescent="0.4">
      <c r="B16" s="15" t="s">
        <v>123</v>
      </c>
      <c r="C16" s="23">
        <f>'Stage 3'!F27-'Stage 2'!F32</f>
        <v>0</v>
      </c>
      <c r="D16" s="22"/>
      <c r="E16" s="266"/>
    </row>
    <row r="17" spans="2:6" ht="15.5" thickTop="1" thickBot="1" x14ac:dyDescent="0.4">
      <c r="B17" s="16" t="s">
        <v>124</v>
      </c>
      <c r="C17" s="53" t="e">
        <f>C15+C16</f>
        <v>#VALUE!</v>
      </c>
      <c r="D17" s="18"/>
      <c r="E17" s="266"/>
    </row>
    <row r="18" spans="2:6" ht="15" thickTop="1" x14ac:dyDescent="0.35">
      <c r="B18" s="17" t="s">
        <v>125</v>
      </c>
      <c r="C18" s="54" t="e">
        <f>C17*1.2</f>
        <v>#VALUE!</v>
      </c>
      <c r="D18" s="18"/>
      <c r="E18" s="266"/>
    </row>
    <row r="19" spans="2:6" ht="16.5" x14ac:dyDescent="0.35">
      <c r="B19" s="9"/>
      <c r="C19" s="11"/>
      <c r="D19" s="12"/>
    </row>
    <row r="20" spans="2:6" ht="16.5" x14ac:dyDescent="0.35">
      <c r="B20" s="9"/>
      <c r="C20" s="11"/>
      <c r="D20" s="12"/>
    </row>
    <row r="21" spans="2:6" ht="16.5" x14ac:dyDescent="0.35">
      <c r="B21" s="9"/>
      <c r="C21" s="12"/>
      <c r="D21" s="12"/>
    </row>
    <row r="22" spans="2:6" ht="16.5" x14ac:dyDescent="0.35">
      <c r="B22" s="10"/>
      <c r="C22" s="13"/>
      <c r="D22" s="13"/>
    </row>
    <row r="24" spans="2:6" ht="15" thickBot="1" x14ac:dyDescent="0.4">
      <c r="C24" s="52" t="str">
        <f>'Stage 1'!D29</f>
        <v/>
      </c>
      <c r="F24" s="268" t="e">
        <f>C33</f>
        <v>#VALUE!</v>
      </c>
    </row>
    <row r="25" spans="2:6" ht="15" thickTop="1" x14ac:dyDescent="0.35">
      <c r="F25" s="268"/>
    </row>
    <row r="26" spans="2:6" x14ac:dyDescent="0.35">
      <c r="F26" s="268"/>
    </row>
    <row r="27" spans="2:6" ht="15" thickBot="1" x14ac:dyDescent="0.4">
      <c r="C27" s="23">
        <f>'Stage 3'!E27-'Stage 2'!E32</f>
        <v>0</v>
      </c>
      <c r="F27" s="268"/>
    </row>
    <row r="28" spans="2:6" ht="15" thickTop="1" x14ac:dyDescent="0.35"/>
    <row r="29" spans="2:6" ht="15" thickBot="1" x14ac:dyDescent="0.4">
      <c r="F29" s="268" t="e">
        <f>C18</f>
        <v>#VALUE!</v>
      </c>
    </row>
    <row r="30" spans="2:6" ht="15.5" thickTop="1" thickBot="1" x14ac:dyDescent="0.4">
      <c r="C30" s="53" t="e">
        <f>C24+C27</f>
        <v>#VALUE!</v>
      </c>
      <c r="F30" s="268"/>
    </row>
    <row r="31" spans="2:6" ht="15" thickTop="1" x14ac:dyDescent="0.35">
      <c r="F31" s="268"/>
    </row>
    <row r="32" spans="2:6" ht="15" thickBot="1" x14ac:dyDescent="0.4">
      <c r="F32" s="268"/>
    </row>
    <row r="33" spans="3:3" ht="15" thickTop="1" x14ac:dyDescent="0.35">
      <c r="C33" s="54"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4"/>
  <sheetViews>
    <sheetView showRowColHeaders="0" zoomScaleNormal="100" workbookViewId="0"/>
  </sheetViews>
  <sheetFormatPr defaultColWidth="9.1796875" defaultRowHeight="14.5" x14ac:dyDescent="0.35"/>
  <cols>
    <col min="1" max="1" width="9.1796875" style="137"/>
    <col min="2" max="2" width="4.81640625" style="137" customWidth="1"/>
    <col min="3" max="3" width="44.453125" style="137" bestFit="1" customWidth="1"/>
    <col min="4" max="4" width="31.26953125" style="137" bestFit="1" customWidth="1"/>
    <col min="5" max="5" width="34" style="137" customWidth="1"/>
    <col min="6" max="6" width="31.54296875" style="137" customWidth="1"/>
    <col min="7" max="7" width="41.81640625" style="137" customWidth="1"/>
    <col min="8" max="8" width="51.26953125" style="137" customWidth="1"/>
    <col min="9" max="9" width="46.54296875" style="137" customWidth="1"/>
    <col min="10" max="10" width="39.81640625" style="137" bestFit="1" customWidth="1"/>
    <col min="11" max="11" width="36.81640625" style="137" customWidth="1"/>
    <col min="12" max="12" width="38.1796875" style="137" bestFit="1" customWidth="1"/>
    <col min="13" max="15" width="28" style="137" customWidth="1"/>
    <col min="16" max="16" width="9" style="137" customWidth="1"/>
    <col min="17" max="16384" width="9.1796875" style="137"/>
  </cols>
  <sheetData>
    <row r="1" spans="2:16" ht="35.25" customHeight="1" thickBot="1" x14ac:dyDescent="0.4"/>
    <row r="2" spans="2:16" ht="15" thickTop="1" x14ac:dyDescent="0.35">
      <c r="B2" s="262" t="s">
        <v>132</v>
      </c>
      <c r="C2" s="263"/>
      <c r="D2" s="263"/>
      <c r="E2" s="263"/>
      <c r="F2" s="263"/>
      <c r="G2" s="263"/>
      <c r="H2" s="263"/>
      <c r="I2" s="263"/>
      <c r="J2" s="263"/>
      <c r="K2" s="263"/>
      <c r="L2" s="263"/>
      <c r="M2" s="263"/>
      <c r="N2" s="263"/>
      <c r="O2" s="263"/>
      <c r="P2" s="264"/>
    </row>
    <row r="3" spans="2:16" x14ac:dyDescent="0.35">
      <c r="B3" s="252"/>
      <c r="C3" s="253"/>
      <c r="D3" s="253"/>
      <c r="E3" s="253"/>
      <c r="F3" s="253"/>
      <c r="G3" s="253"/>
      <c r="H3" s="253"/>
      <c r="I3" s="253"/>
      <c r="J3" s="253"/>
      <c r="K3" s="253"/>
      <c r="L3" s="253"/>
      <c r="M3" s="253"/>
      <c r="N3" s="253"/>
      <c r="O3" s="253"/>
      <c r="P3" s="254"/>
    </row>
    <row r="4" spans="2:16" x14ac:dyDescent="0.35">
      <c r="B4" s="252"/>
      <c r="C4" s="253"/>
      <c r="D4" s="253"/>
      <c r="E4" s="253"/>
      <c r="F4" s="253"/>
      <c r="G4" s="253"/>
      <c r="H4" s="253"/>
      <c r="I4" s="253"/>
      <c r="J4" s="253"/>
      <c r="K4" s="253"/>
      <c r="L4" s="253"/>
      <c r="M4" s="253"/>
      <c r="N4" s="253"/>
      <c r="O4" s="253"/>
      <c r="P4" s="254"/>
    </row>
    <row r="5" spans="2:16" x14ac:dyDescent="0.35">
      <c r="B5" s="132"/>
      <c r="C5" s="22"/>
      <c r="D5" s="22"/>
      <c r="E5" s="22"/>
      <c r="F5" s="22"/>
      <c r="G5" s="22"/>
      <c r="H5" s="22"/>
      <c r="I5" s="1"/>
      <c r="J5" s="22"/>
      <c r="K5" s="22"/>
      <c r="L5" s="22"/>
      <c r="M5" s="22"/>
      <c r="N5" s="22"/>
      <c r="O5" s="22"/>
      <c r="P5" s="134"/>
    </row>
    <row r="6" spans="2:16" x14ac:dyDescent="0.35">
      <c r="B6" s="132"/>
      <c r="C6" s="22" t="s">
        <v>133</v>
      </c>
      <c r="D6" s="1"/>
      <c r="E6" s="22"/>
      <c r="F6" s="22"/>
      <c r="G6" s="22"/>
      <c r="H6" s="22"/>
      <c r="I6" s="1"/>
      <c r="J6" s="22"/>
      <c r="K6" s="22"/>
      <c r="L6" s="22"/>
      <c r="M6" s="22"/>
      <c r="N6" s="22"/>
      <c r="O6" s="22"/>
      <c r="P6" s="134"/>
    </row>
    <row r="7" spans="2:16" ht="28.5" thickBot="1" x14ac:dyDescent="0.4">
      <c r="B7" s="132"/>
      <c r="C7" s="33" t="s">
        <v>134</v>
      </c>
      <c r="D7" s="45" t="s">
        <v>135</v>
      </c>
      <c r="E7" s="45" t="s">
        <v>136</v>
      </c>
      <c r="F7" s="45" t="s">
        <v>137</v>
      </c>
      <c r="G7" s="131" t="s">
        <v>138</v>
      </c>
      <c r="H7" s="27"/>
      <c r="I7" s="181"/>
      <c r="J7" s="27"/>
      <c r="K7" s="27"/>
      <c r="L7" s="27"/>
      <c r="M7" s="27"/>
      <c r="N7" s="27"/>
      <c r="O7" s="27"/>
      <c r="P7" s="134"/>
    </row>
    <row r="8" spans="2:16" ht="15" thickTop="1" x14ac:dyDescent="0.35">
      <c r="B8" s="132"/>
      <c r="C8" s="182" t="s">
        <v>139</v>
      </c>
      <c r="D8" s="43">
        <v>0.9</v>
      </c>
      <c r="E8" s="43">
        <v>27</v>
      </c>
      <c r="F8" s="43">
        <v>0.9</v>
      </c>
      <c r="G8" s="37">
        <v>27</v>
      </c>
      <c r="H8" s="27"/>
      <c r="I8" s="181"/>
      <c r="J8" s="27"/>
      <c r="K8" s="27"/>
      <c r="L8" s="27"/>
      <c r="M8" s="27"/>
      <c r="N8" s="27"/>
      <c r="O8" s="27"/>
      <c r="P8" s="134"/>
    </row>
    <row r="9" spans="2:16" x14ac:dyDescent="0.35">
      <c r="B9" s="132"/>
      <c r="C9" s="182" t="s">
        <v>140</v>
      </c>
      <c r="D9" s="43">
        <v>1</v>
      </c>
      <c r="E9" s="43">
        <v>27</v>
      </c>
      <c r="F9" s="43">
        <v>0.4</v>
      </c>
      <c r="G9" s="37">
        <v>27</v>
      </c>
      <c r="H9" s="27"/>
      <c r="I9" s="181"/>
      <c r="J9" s="27"/>
      <c r="K9" s="27"/>
      <c r="L9" s="27"/>
      <c r="M9" s="27"/>
      <c r="N9" s="27"/>
      <c r="O9" s="27"/>
      <c r="P9" s="134"/>
    </row>
    <row r="10" spans="2:16" x14ac:dyDescent="0.35">
      <c r="B10" s="132"/>
      <c r="C10" s="182" t="s">
        <v>141</v>
      </c>
      <c r="D10" s="43">
        <v>8</v>
      </c>
      <c r="E10" s="43">
        <v>27</v>
      </c>
      <c r="F10" s="43">
        <v>8</v>
      </c>
      <c r="G10" s="37">
        <v>27</v>
      </c>
      <c r="H10" s="27"/>
      <c r="I10" s="181"/>
      <c r="J10" s="27"/>
      <c r="K10" s="27"/>
      <c r="L10" s="27"/>
      <c r="M10" s="27"/>
      <c r="N10" s="27"/>
      <c r="O10" s="27"/>
      <c r="P10" s="134"/>
    </row>
    <row r="11" spans="2:16" x14ac:dyDescent="0.35">
      <c r="B11" s="132"/>
      <c r="C11" s="182" t="s">
        <v>142</v>
      </c>
      <c r="D11" s="43">
        <v>0.34</v>
      </c>
      <c r="E11" s="43">
        <v>27</v>
      </c>
      <c r="F11" s="43">
        <v>0.34</v>
      </c>
      <c r="G11" s="37">
        <v>27</v>
      </c>
      <c r="H11" s="27"/>
      <c r="I11" s="181"/>
      <c r="J11" s="27"/>
      <c r="K11" s="27"/>
      <c r="L11" s="27"/>
      <c r="M11" s="27"/>
      <c r="N11" s="27"/>
      <c r="O11" s="27"/>
      <c r="P11" s="134"/>
    </row>
    <row r="12" spans="2:16" x14ac:dyDescent="0.35">
      <c r="B12" s="132"/>
      <c r="C12" s="182" t="s">
        <v>143</v>
      </c>
      <c r="D12" s="43">
        <v>0.5</v>
      </c>
      <c r="E12" s="43">
        <v>27</v>
      </c>
      <c r="F12" s="43">
        <v>0.5</v>
      </c>
      <c r="G12" s="37">
        <v>27</v>
      </c>
      <c r="H12" s="27"/>
      <c r="I12" s="181"/>
      <c r="J12" s="27"/>
      <c r="K12" s="27"/>
      <c r="L12" s="27"/>
      <c r="M12" s="27"/>
      <c r="N12" s="27"/>
      <c r="O12" s="27"/>
      <c r="P12" s="134"/>
    </row>
    <row r="13" spans="2:16" x14ac:dyDescent="0.35">
      <c r="B13" s="132"/>
      <c r="C13" s="182" t="s">
        <v>144</v>
      </c>
      <c r="D13" s="43">
        <v>8</v>
      </c>
      <c r="E13" s="43">
        <v>27</v>
      </c>
      <c r="F13" s="43">
        <v>8</v>
      </c>
      <c r="G13" s="37">
        <v>27</v>
      </c>
      <c r="H13" s="27"/>
      <c r="I13" s="181"/>
      <c r="J13" s="27"/>
      <c r="K13" s="27"/>
      <c r="L13" s="27"/>
      <c r="M13" s="27"/>
      <c r="N13" s="27"/>
      <c r="O13" s="27"/>
      <c r="P13" s="134"/>
    </row>
    <row r="14" spans="2:16" x14ac:dyDescent="0.35">
      <c r="B14" s="132"/>
      <c r="C14" s="182" t="s">
        <v>145</v>
      </c>
      <c r="D14" s="43">
        <v>1</v>
      </c>
      <c r="E14" s="43">
        <v>27</v>
      </c>
      <c r="F14" s="43">
        <v>1</v>
      </c>
      <c r="G14" s="37">
        <v>27</v>
      </c>
      <c r="H14" s="27"/>
      <c r="I14" s="181"/>
      <c r="J14" s="27"/>
      <c r="K14" s="27"/>
      <c r="L14" s="27"/>
      <c r="M14" s="27"/>
      <c r="N14" s="27"/>
      <c r="O14" s="27"/>
      <c r="P14" s="134"/>
    </row>
    <row r="15" spans="2:16" x14ac:dyDescent="0.35">
      <c r="B15" s="132"/>
      <c r="C15" s="182" t="s">
        <v>146</v>
      </c>
      <c r="D15" s="43">
        <v>1</v>
      </c>
      <c r="E15" s="43">
        <v>27</v>
      </c>
      <c r="F15" s="43">
        <v>1</v>
      </c>
      <c r="G15" s="37">
        <v>27</v>
      </c>
      <c r="H15" s="27"/>
      <c r="I15" s="181"/>
      <c r="J15" s="27"/>
      <c r="K15" s="27"/>
      <c r="L15" s="27"/>
      <c r="M15" s="27"/>
      <c r="N15" s="27"/>
      <c r="O15" s="27"/>
      <c r="P15" s="134"/>
    </row>
    <row r="16" spans="2:16" x14ac:dyDescent="0.35">
      <c r="B16" s="132"/>
      <c r="C16" s="182" t="s">
        <v>147</v>
      </c>
      <c r="D16" s="43">
        <v>9.6999999999999993</v>
      </c>
      <c r="E16" s="43">
        <v>72.900000000000006</v>
      </c>
      <c r="F16" s="43">
        <v>9.6999999999999993</v>
      </c>
      <c r="G16" s="40">
        <v>72.900000000000006</v>
      </c>
      <c r="H16" s="27"/>
      <c r="I16" s="181"/>
      <c r="J16" s="27"/>
      <c r="K16" s="27"/>
      <c r="L16" s="27"/>
      <c r="M16" s="27"/>
      <c r="N16" s="27"/>
      <c r="O16" s="27"/>
      <c r="P16" s="134"/>
    </row>
    <row r="17" spans="2:16" x14ac:dyDescent="0.35">
      <c r="B17" s="132"/>
      <c r="C17" s="182" t="s">
        <v>148</v>
      </c>
      <c r="D17" s="43">
        <v>11.6</v>
      </c>
      <c r="E17" s="43">
        <v>96.3</v>
      </c>
      <c r="F17" s="43">
        <v>11.6</v>
      </c>
      <c r="G17" s="40">
        <v>96.3</v>
      </c>
      <c r="H17" s="27"/>
      <c r="I17" s="181"/>
      <c r="J17" s="27"/>
      <c r="K17" s="27"/>
      <c r="L17" s="27"/>
      <c r="M17" s="27"/>
      <c r="N17" s="27"/>
      <c r="O17" s="27"/>
      <c r="P17" s="134"/>
    </row>
    <row r="18" spans="2:16" x14ac:dyDescent="0.35">
      <c r="B18" s="132"/>
      <c r="C18" s="182" t="s">
        <v>149</v>
      </c>
      <c r="D18" s="43"/>
      <c r="E18" s="43"/>
      <c r="F18" s="43"/>
      <c r="G18" s="37"/>
      <c r="H18" s="181"/>
      <c r="I18" s="181"/>
      <c r="J18" s="27"/>
      <c r="K18" s="27"/>
      <c r="L18" s="27"/>
      <c r="M18" s="27"/>
      <c r="N18" s="27"/>
      <c r="O18" s="27"/>
      <c r="P18" s="134"/>
    </row>
    <row r="19" spans="2:16" x14ac:dyDescent="0.35">
      <c r="B19" s="132"/>
      <c r="C19" s="182" t="s">
        <v>150</v>
      </c>
      <c r="D19" s="43"/>
      <c r="E19" s="43"/>
      <c r="F19" s="43"/>
      <c r="G19" s="37"/>
      <c r="H19" s="27"/>
      <c r="I19" s="181"/>
      <c r="J19" s="27"/>
      <c r="K19" s="27"/>
      <c r="L19" s="27"/>
      <c r="M19" s="27"/>
      <c r="N19" s="27"/>
      <c r="O19" s="27"/>
      <c r="P19" s="134"/>
    </row>
    <row r="20" spans="2:16" x14ac:dyDescent="0.35">
      <c r="B20" s="132"/>
      <c r="C20" s="27"/>
      <c r="D20" s="181"/>
      <c r="E20" s="27"/>
      <c r="F20" s="27"/>
      <c r="G20" s="27"/>
      <c r="H20" s="27"/>
      <c r="I20" s="181"/>
      <c r="J20" s="27"/>
      <c r="K20" s="27"/>
      <c r="L20" s="27"/>
      <c r="M20" s="27"/>
      <c r="N20" s="27"/>
      <c r="O20" s="27"/>
      <c r="P20" s="134"/>
    </row>
    <row r="21" spans="2:16" x14ac:dyDescent="0.35">
      <c r="B21" s="132"/>
      <c r="C21" s="27" t="s">
        <v>151</v>
      </c>
      <c r="D21" s="27"/>
      <c r="E21" s="27"/>
      <c r="F21" s="27"/>
      <c r="G21" s="27"/>
      <c r="H21" s="27"/>
      <c r="I21" s="27"/>
      <c r="J21" s="27"/>
      <c r="K21" s="27"/>
      <c r="L21" s="27"/>
      <c r="M21" s="27"/>
      <c r="N21" s="27"/>
      <c r="O21" s="27"/>
      <c r="P21" s="134"/>
    </row>
    <row r="22" spans="2:16" ht="28.5" thickBot="1" x14ac:dyDescent="0.4">
      <c r="B22" s="132"/>
      <c r="C22" s="33" t="s">
        <v>152</v>
      </c>
      <c r="D22" s="33" t="s">
        <v>153</v>
      </c>
      <c r="E22" s="33" t="s">
        <v>154</v>
      </c>
      <c r="F22" s="33" t="s">
        <v>155</v>
      </c>
      <c r="G22" s="33" t="s">
        <v>156</v>
      </c>
      <c r="H22" s="33" t="s">
        <v>157</v>
      </c>
      <c r="I22" s="33" t="s">
        <v>158</v>
      </c>
      <c r="J22" s="45" t="s">
        <v>159</v>
      </c>
      <c r="K22" s="33" t="s">
        <v>160</v>
      </c>
      <c r="L22" s="39" t="s">
        <v>161</v>
      </c>
      <c r="M22" s="45" t="s">
        <v>162</v>
      </c>
      <c r="N22" s="33" t="s">
        <v>163</v>
      </c>
      <c r="O22" s="131" t="s">
        <v>164</v>
      </c>
      <c r="P22" s="122"/>
    </row>
    <row r="23" spans="2:16" ht="15" thickTop="1" x14ac:dyDescent="0.35">
      <c r="B23" s="132"/>
      <c r="C23" s="183" t="s">
        <v>165</v>
      </c>
      <c r="D23" s="183" t="s">
        <v>166</v>
      </c>
      <c r="E23" s="183" t="b">
        <v>0</v>
      </c>
      <c r="F23" s="183" t="s">
        <v>167</v>
      </c>
      <c r="G23" s="183" t="s">
        <v>168</v>
      </c>
      <c r="H23" s="50" t="str">
        <f t="shared" ref="H23:H52" si="0">C23&amp;"|"&amp;D23&amp;"|"&amp;E23&amp;"|"&amp;F23&amp;"|"&amp;G23</f>
        <v>Clun River|Cereals|FALSE|700to900|FreeDrain</v>
      </c>
      <c r="I23" s="129">
        <v>0.14571189940613472</v>
      </c>
      <c r="J23" s="47">
        <v>28.172684835423169</v>
      </c>
      <c r="K23" s="34" t="str">
        <f>D23&amp;"|"&amp;F23&amp;""</f>
        <v>Cereals|700to900</v>
      </c>
      <c r="L23" s="44">
        <f>AVERAGE(I23:I24,I63)</f>
        <v>0.56058851215987571</v>
      </c>
      <c r="M23" s="193">
        <f>AVERAGE(J23:J24,J63)</f>
        <v>23.606424052550775</v>
      </c>
      <c r="N23" s="47">
        <f>AVERAGE(I23:I26)</f>
        <v>0.56330312563748541</v>
      </c>
      <c r="O23" s="47">
        <f>AVERAGE(J23:J26)</f>
        <v>26.866721660470919</v>
      </c>
      <c r="P23" s="122"/>
    </row>
    <row r="24" spans="2:16" x14ac:dyDescent="0.35">
      <c r="B24" s="132"/>
      <c r="C24" s="183" t="s">
        <v>165</v>
      </c>
      <c r="D24" s="183" t="s">
        <v>166</v>
      </c>
      <c r="E24" s="183" t="b">
        <v>0</v>
      </c>
      <c r="F24" s="183" t="s">
        <v>167</v>
      </c>
      <c r="G24" s="183" t="s">
        <v>169</v>
      </c>
      <c r="H24" s="50" t="str">
        <f t="shared" si="0"/>
        <v>Clun River|Cereals|FALSE|700to900|DrainedAr</v>
      </c>
      <c r="I24" s="129">
        <v>0.64078186208044707</v>
      </c>
      <c r="J24" s="47">
        <v>21.682731146496344</v>
      </c>
      <c r="K24" s="34" t="str">
        <f t="shared" ref="K24:K87" si="1">D24&amp;"|"&amp;F24&amp;""</f>
        <v>Cereals|700to900</v>
      </c>
      <c r="L24" s="44"/>
      <c r="M24" s="129"/>
      <c r="N24" s="47"/>
      <c r="O24" s="47"/>
      <c r="P24" s="122"/>
    </row>
    <row r="25" spans="2:16" x14ac:dyDescent="0.35">
      <c r="B25" s="132"/>
      <c r="C25" s="183" t="s">
        <v>165</v>
      </c>
      <c r="D25" s="183" t="s">
        <v>166</v>
      </c>
      <c r="E25" s="183" t="b">
        <v>0</v>
      </c>
      <c r="F25" s="183" t="s">
        <v>170</v>
      </c>
      <c r="G25" s="183" t="s">
        <v>168</v>
      </c>
      <c r="H25" s="50" t="str">
        <f t="shared" si="0"/>
        <v>Clun River|Cereals|FALSE|900to1200|FreeDrain</v>
      </c>
      <c r="I25" s="129">
        <v>0.25503710152813713</v>
      </c>
      <c r="J25" s="47">
        <v>29.9114458378614</v>
      </c>
      <c r="K25" s="34" t="str">
        <f t="shared" si="1"/>
        <v>Cereals|900to1200</v>
      </c>
      <c r="L25" s="44">
        <f>AVERAGE(I25:I26)</f>
        <v>0.7333593705316801</v>
      </c>
      <c r="M25" s="129">
        <f>AVERAGE(J25:J26)</f>
        <v>28.805735329982078</v>
      </c>
      <c r="N25" s="47"/>
      <c r="O25" s="47"/>
      <c r="P25" s="122"/>
    </row>
    <row r="26" spans="2:16" x14ac:dyDescent="0.35">
      <c r="B26" s="132"/>
      <c r="C26" s="183" t="s">
        <v>165</v>
      </c>
      <c r="D26" s="183" t="s">
        <v>166</v>
      </c>
      <c r="E26" s="183" t="b">
        <v>0</v>
      </c>
      <c r="F26" s="183" t="s">
        <v>170</v>
      </c>
      <c r="G26" s="183" t="s">
        <v>169</v>
      </c>
      <c r="H26" s="50" t="str">
        <f t="shared" si="0"/>
        <v>Clun River|Cereals|FALSE|900to1200|DrainedAr</v>
      </c>
      <c r="I26" s="129">
        <v>1.211681639535223</v>
      </c>
      <c r="J26" s="47">
        <v>27.700024822102758</v>
      </c>
      <c r="K26" s="34" t="str">
        <f t="shared" si="1"/>
        <v>Cereals|900to1200</v>
      </c>
      <c r="L26" s="44"/>
      <c r="M26" s="129"/>
      <c r="N26" s="47"/>
      <c r="O26" s="47"/>
      <c r="P26" s="122"/>
    </row>
    <row r="27" spans="2:16" x14ac:dyDescent="0.35">
      <c r="B27" s="132"/>
      <c r="C27" s="183" t="s">
        <v>165</v>
      </c>
      <c r="D27" s="183" t="s">
        <v>171</v>
      </c>
      <c r="E27" s="183" t="b">
        <v>0</v>
      </c>
      <c r="F27" s="183" t="s">
        <v>167</v>
      </c>
      <c r="G27" s="183" t="s">
        <v>168</v>
      </c>
      <c r="H27" s="50" t="str">
        <f t="shared" si="0"/>
        <v>Clun River|General|FALSE|700to900|FreeDrain</v>
      </c>
      <c r="I27" s="129">
        <v>0.11460742215168203</v>
      </c>
      <c r="J27" s="47">
        <v>21.463168890876421</v>
      </c>
      <c r="K27" s="34" t="str">
        <f t="shared" si="1"/>
        <v>General|700to900</v>
      </c>
      <c r="L27" s="44">
        <f>AVERAGE(I27:I28,I75)</f>
        <v>0.42063143430139499</v>
      </c>
      <c r="M27" s="129">
        <f>AVERAGE(J27:J28,J75)</f>
        <v>17.573228741396118</v>
      </c>
      <c r="N27" s="47">
        <f>AVERAGE(I27:I30)</f>
        <v>0.39654364010451448</v>
      </c>
      <c r="O27" s="47">
        <f>AVERAGE(J27:J30)</f>
        <v>20.012546138569675</v>
      </c>
      <c r="P27" s="122"/>
    </row>
    <row r="28" spans="2:16" x14ac:dyDescent="0.35">
      <c r="B28" s="132"/>
      <c r="C28" s="183" t="s">
        <v>165</v>
      </c>
      <c r="D28" s="183" t="s">
        <v>171</v>
      </c>
      <c r="E28" s="183" t="b">
        <v>0</v>
      </c>
      <c r="F28" s="183" t="s">
        <v>167</v>
      </c>
      <c r="G28" s="183" t="s">
        <v>169</v>
      </c>
      <c r="H28" s="50" t="str">
        <f t="shared" si="0"/>
        <v>Clun River|General|FALSE|700to900|DrainedAr</v>
      </c>
      <c r="I28" s="129">
        <v>0.4368425752942337</v>
      </c>
      <c r="J28" s="47">
        <v>15.844732023274357</v>
      </c>
      <c r="K28" s="34" t="str">
        <f t="shared" si="1"/>
        <v>General|700to900</v>
      </c>
      <c r="L28" s="44"/>
      <c r="M28" s="129"/>
      <c r="N28" s="47"/>
      <c r="O28" s="47"/>
      <c r="P28" s="122"/>
    </row>
    <row r="29" spans="2:16" x14ac:dyDescent="0.35">
      <c r="B29" s="132"/>
      <c r="C29" s="183" t="s">
        <v>165</v>
      </c>
      <c r="D29" s="183" t="s">
        <v>171</v>
      </c>
      <c r="E29" s="183" t="b">
        <v>0</v>
      </c>
      <c r="F29" s="183" t="s">
        <v>170</v>
      </c>
      <c r="G29" s="183" t="s">
        <v>168</v>
      </c>
      <c r="H29" s="50" t="str">
        <f t="shared" si="0"/>
        <v>Clun River|General|FALSE|900to1200|FreeDrain</v>
      </c>
      <c r="I29" s="129">
        <v>0.20487074551676521</v>
      </c>
      <c r="J29" s="47">
        <v>22.782699562123984</v>
      </c>
      <c r="K29" s="34" t="str">
        <f t="shared" si="1"/>
        <v>General|900to1200</v>
      </c>
      <c r="L29" s="44">
        <f>AVERAGE(I29:I30,I79)</f>
        <v>0.74199914574903636</v>
      </c>
      <c r="M29" s="129">
        <f>AVERAGE(J29:J30,J79)</f>
        <v>20.107927391713556</v>
      </c>
      <c r="N29" s="47"/>
      <c r="O29" s="47"/>
      <c r="P29" s="122"/>
    </row>
    <row r="30" spans="2:16" x14ac:dyDescent="0.35">
      <c r="B30" s="132"/>
      <c r="C30" s="183" t="s">
        <v>165</v>
      </c>
      <c r="D30" s="183" t="s">
        <v>171</v>
      </c>
      <c r="E30" s="183" t="b">
        <v>0</v>
      </c>
      <c r="F30" s="183" t="s">
        <v>170</v>
      </c>
      <c r="G30" s="183" t="s">
        <v>169</v>
      </c>
      <c r="H30" s="50" t="str">
        <f t="shared" si="0"/>
        <v>Clun River|General|FALSE|900to1200|DrainedAr</v>
      </c>
      <c r="I30" s="129">
        <v>0.82985381745537701</v>
      </c>
      <c r="J30" s="47">
        <v>19.959584078003946</v>
      </c>
      <c r="K30" s="34" t="str">
        <f t="shared" si="1"/>
        <v>General|900to1200</v>
      </c>
      <c r="L30" s="44"/>
      <c r="M30" s="129"/>
      <c r="N30" s="47"/>
      <c r="O30" s="47"/>
      <c r="P30" s="122"/>
    </row>
    <row r="31" spans="2:16" x14ac:dyDescent="0.35">
      <c r="B31" s="132"/>
      <c r="C31" s="183" t="s">
        <v>165</v>
      </c>
      <c r="D31" s="183" t="s">
        <v>172</v>
      </c>
      <c r="E31" s="183" t="b">
        <v>0</v>
      </c>
      <c r="F31" s="183" t="s">
        <v>167</v>
      </c>
      <c r="G31" s="183" t="s">
        <v>168</v>
      </c>
      <c r="H31" s="50" t="str">
        <f t="shared" si="0"/>
        <v>Clun River|Poultry|FALSE|700to900|FreeDrain</v>
      </c>
      <c r="I31" s="129">
        <v>0.32486455939897935</v>
      </c>
      <c r="J31" s="47">
        <v>306.17190013866775</v>
      </c>
      <c r="K31" s="34" t="str">
        <f t="shared" si="1"/>
        <v>Poultry|700to900</v>
      </c>
      <c r="L31" s="44">
        <f>AVERAGE(I31:I32,I98)</f>
        <v>0.77149667250088083</v>
      </c>
      <c r="M31" s="129">
        <f>AVERAGE(J31:J32,J98)</f>
        <v>215.08700025199337</v>
      </c>
      <c r="N31" s="47">
        <f>AVERAGE(I31:I34)</f>
        <v>0.82500064070781032</v>
      </c>
      <c r="O31" s="47">
        <f>AVERAGE(J31:J34)</f>
        <v>260.98103846673939</v>
      </c>
      <c r="P31" s="122"/>
    </row>
    <row r="32" spans="2:16" x14ac:dyDescent="0.35">
      <c r="B32" s="132"/>
      <c r="C32" s="183" t="s">
        <v>165</v>
      </c>
      <c r="D32" s="183" t="s">
        <v>172</v>
      </c>
      <c r="E32" s="183" t="b">
        <v>0</v>
      </c>
      <c r="F32" s="183" t="s">
        <v>167</v>
      </c>
      <c r="G32" s="183" t="s">
        <v>173</v>
      </c>
      <c r="H32" s="50" t="str">
        <f t="shared" si="0"/>
        <v>Clun River|Poultry|FALSE|700to900|DrainedArGr</v>
      </c>
      <c r="I32" s="129">
        <v>1.3203928288220774</v>
      </c>
      <c r="J32" s="47">
        <v>168.28883581730773</v>
      </c>
      <c r="K32" s="34" t="str">
        <f t="shared" si="1"/>
        <v>Poultry|700to900</v>
      </c>
      <c r="L32" s="44"/>
      <c r="M32" s="129"/>
      <c r="N32" s="47"/>
      <c r="O32" s="47"/>
      <c r="P32" s="122"/>
    </row>
    <row r="33" spans="2:16" x14ac:dyDescent="0.35">
      <c r="B33" s="132"/>
      <c r="C33" s="183" t="s">
        <v>165</v>
      </c>
      <c r="D33" s="183" t="s">
        <v>172</v>
      </c>
      <c r="E33" s="183" t="b">
        <v>0</v>
      </c>
      <c r="F33" s="183" t="s">
        <v>170</v>
      </c>
      <c r="G33" s="183" t="s">
        <v>168</v>
      </c>
      <c r="H33" s="50" t="str">
        <f t="shared" si="0"/>
        <v>Clun River|Poultry|FALSE|900to1200|FreeDrain</v>
      </c>
      <c r="I33" s="129">
        <v>0.47703936063131902</v>
      </c>
      <c r="J33" s="47">
        <v>320.71695007971761</v>
      </c>
      <c r="K33" s="34" t="str">
        <f t="shared" si="1"/>
        <v>Poultry|900to1200</v>
      </c>
      <c r="L33" s="44">
        <f>AVERAGE(I33:I34)</f>
        <v>0.82737258730509222</v>
      </c>
      <c r="M33" s="129">
        <f>AVERAGE(J33:J34)</f>
        <v>284.731708955491</v>
      </c>
      <c r="N33" s="47"/>
      <c r="O33" s="47"/>
      <c r="P33" s="122"/>
    </row>
    <row r="34" spans="2:16" x14ac:dyDescent="0.35">
      <c r="B34" s="132"/>
      <c r="C34" s="183" t="s">
        <v>165</v>
      </c>
      <c r="D34" s="183" t="s">
        <v>172</v>
      </c>
      <c r="E34" s="183" t="b">
        <v>0</v>
      </c>
      <c r="F34" s="183" t="s">
        <v>170</v>
      </c>
      <c r="G34" s="183" t="s">
        <v>169</v>
      </c>
      <c r="H34" s="50" t="str">
        <f t="shared" si="0"/>
        <v>Clun River|Poultry|FALSE|900to1200|DrainedAr</v>
      </c>
      <c r="I34" s="129">
        <v>1.1777058139788654</v>
      </c>
      <c r="J34" s="47">
        <v>248.74646783126443</v>
      </c>
      <c r="K34" s="34" t="str">
        <f t="shared" si="1"/>
        <v>Poultry|900to1200</v>
      </c>
      <c r="L34" s="44"/>
      <c r="M34" s="129"/>
      <c r="N34" s="47"/>
      <c r="O34" s="47"/>
      <c r="P34" s="122"/>
    </row>
    <row r="35" spans="2:16" x14ac:dyDescent="0.35">
      <c r="B35" s="132"/>
      <c r="C35" s="183" t="s">
        <v>165</v>
      </c>
      <c r="D35" s="183" t="s">
        <v>174</v>
      </c>
      <c r="E35" s="183" t="b">
        <v>0</v>
      </c>
      <c r="F35" s="183" t="s">
        <v>167</v>
      </c>
      <c r="G35" s="183" t="s">
        <v>168</v>
      </c>
      <c r="H35" s="50" t="str">
        <f t="shared" si="0"/>
        <v>Clun River|Dairy|FALSE|700to900|FreeDrain</v>
      </c>
      <c r="I35" s="129">
        <v>0.1320514322907651</v>
      </c>
      <c r="J35" s="47">
        <v>25.353904562092609</v>
      </c>
      <c r="K35" s="34" t="str">
        <f t="shared" si="1"/>
        <v>Dairy|700to900</v>
      </c>
      <c r="L35" s="44">
        <f>AVERAGE(I35:I37)</f>
        <v>0.4167654432604973</v>
      </c>
      <c r="M35" s="129">
        <f>AVERAGE(J35:J37)</f>
        <v>19.43144653306706</v>
      </c>
      <c r="N35" s="47">
        <f>AVERAGE(I35:I38)</f>
        <v>0.36359922436734332</v>
      </c>
      <c r="O35" s="47">
        <f>AVERAGE(J35:J38)</f>
        <v>21.272850187174036</v>
      </c>
      <c r="P35" s="122"/>
    </row>
    <row r="36" spans="2:16" x14ac:dyDescent="0.35">
      <c r="B36" s="132"/>
      <c r="C36" s="183" t="s">
        <v>165</v>
      </c>
      <c r="D36" s="183" t="s">
        <v>174</v>
      </c>
      <c r="E36" s="183" t="b">
        <v>0</v>
      </c>
      <c r="F36" s="183" t="s">
        <v>167</v>
      </c>
      <c r="G36" s="183" t="s">
        <v>169</v>
      </c>
      <c r="H36" s="50" t="str">
        <f t="shared" si="0"/>
        <v>Clun River|Dairy|FALSE|700to900|DrainedAr</v>
      </c>
      <c r="I36" s="129">
        <v>0.2613166576680987</v>
      </c>
      <c r="J36" s="47">
        <v>19.642088197086437</v>
      </c>
      <c r="K36" s="34" t="str">
        <f t="shared" si="1"/>
        <v>Dairy|700to900</v>
      </c>
      <c r="L36" s="44"/>
      <c r="M36" s="129"/>
      <c r="N36" s="47"/>
      <c r="O36" s="47"/>
      <c r="P36" s="122"/>
    </row>
    <row r="37" spans="2:16" x14ac:dyDescent="0.35">
      <c r="B37" s="132"/>
      <c r="C37" s="183" t="s">
        <v>165</v>
      </c>
      <c r="D37" s="183" t="s">
        <v>174</v>
      </c>
      <c r="E37" s="183" t="b">
        <v>0</v>
      </c>
      <c r="F37" s="183" t="s">
        <v>167</v>
      </c>
      <c r="G37" s="183" t="s">
        <v>173</v>
      </c>
      <c r="H37" s="50" t="str">
        <f t="shared" si="0"/>
        <v>Clun River|Dairy|FALSE|700to900|DrainedArGr</v>
      </c>
      <c r="I37" s="129">
        <v>0.85692823982262811</v>
      </c>
      <c r="J37" s="47">
        <v>13.298346840022134</v>
      </c>
      <c r="K37" s="34" t="str">
        <f t="shared" si="1"/>
        <v>Dairy|700to900</v>
      </c>
      <c r="L37" s="44"/>
      <c r="M37" s="129"/>
      <c r="N37" s="47"/>
      <c r="O37" s="47"/>
      <c r="P37" s="122"/>
    </row>
    <row r="38" spans="2:16" x14ac:dyDescent="0.35">
      <c r="B38" s="132"/>
      <c r="C38" s="183" t="s">
        <v>165</v>
      </c>
      <c r="D38" s="183" t="s">
        <v>174</v>
      </c>
      <c r="E38" s="183" t="b">
        <v>0</v>
      </c>
      <c r="F38" s="183" t="s">
        <v>170</v>
      </c>
      <c r="G38" s="183" t="s">
        <v>168</v>
      </c>
      <c r="H38" s="50" t="str">
        <f t="shared" si="0"/>
        <v>Clun River|Dairy|FALSE|900to1200|FreeDrain</v>
      </c>
      <c r="I38" s="129">
        <v>0.20410056768788132</v>
      </c>
      <c r="J38" s="47">
        <v>26.797061149494972</v>
      </c>
      <c r="K38" s="34" t="str">
        <f t="shared" si="1"/>
        <v>Dairy|900to1200</v>
      </c>
      <c r="L38" s="44">
        <f>AVERAGE(I38,I109:I110)</f>
        <v>0.36184313701801996</v>
      </c>
      <c r="M38" s="129">
        <f>AVERAGE(J38,J109:J110)</f>
        <v>39.634877786240395</v>
      </c>
      <c r="N38" s="47"/>
      <c r="O38" s="47"/>
      <c r="P38" s="122"/>
    </row>
    <row r="39" spans="2:16" x14ac:dyDescent="0.35">
      <c r="B39" s="132"/>
      <c r="C39" s="183" t="s">
        <v>165</v>
      </c>
      <c r="D39" s="183" t="s">
        <v>175</v>
      </c>
      <c r="E39" s="183" t="b">
        <v>0</v>
      </c>
      <c r="F39" s="183" t="s">
        <v>167</v>
      </c>
      <c r="G39" s="183" t="s">
        <v>168</v>
      </c>
      <c r="H39" s="50" t="str">
        <f t="shared" si="0"/>
        <v>Clun River|LFA|FALSE|700to900|FreeDrain</v>
      </c>
      <c r="I39" s="129">
        <v>9.6437053027685779E-2</v>
      </c>
      <c r="J39" s="47">
        <v>13.23859222831477</v>
      </c>
      <c r="K39" s="34" t="str">
        <f t="shared" si="1"/>
        <v>LFA|700to900</v>
      </c>
      <c r="L39" s="44">
        <f>AVERAGE(I39:I40,I111:I113)</f>
        <v>0.21326777055314619</v>
      </c>
      <c r="M39" s="129">
        <f>AVERAGE(J39:J40,J111:J113)</f>
        <v>11.193498498862576</v>
      </c>
      <c r="N39" s="47">
        <f>AVERAGE(I39:I42)</f>
        <v>0.14255711534419718</v>
      </c>
      <c r="O39" s="47">
        <f>AVERAGE(J39:J42)</f>
        <v>12.828058604908223</v>
      </c>
      <c r="P39" s="122"/>
    </row>
    <row r="40" spans="2:16" x14ac:dyDescent="0.35">
      <c r="B40" s="132"/>
      <c r="C40" s="183" t="s">
        <v>165</v>
      </c>
      <c r="D40" s="183" t="s">
        <v>175</v>
      </c>
      <c r="E40" s="183" t="b">
        <v>0</v>
      </c>
      <c r="F40" s="183" t="s">
        <v>167</v>
      </c>
      <c r="G40" s="183" t="s">
        <v>169</v>
      </c>
      <c r="H40" s="50" t="str">
        <f t="shared" si="0"/>
        <v>Clun River|LFA|FALSE|700to900|DrainedAr</v>
      </c>
      <c r="I40" s="129">
        <v>0.1205952848349397</v>
      </c>
      <c r="J40" s="47">
        <v>10.36811190867471</v>
      </c>
      <c r="K40" s="34" t="str">
        <f t="shared" si="1"/>
        <v>LFA|700to900</v>
      </c>
      <c r="L40" s="44"/>
      <c r="M40" s="129"/>
      <c r="N40" s="47"/>
      <c r="O40" s="47"/>
      <c r="P40" s="122"/>
    </row>
    <row r="41" spans="2:16" x14ac:dyDescent="0.35">
      <c r="B41" s="132"/>
      <c r="C41" s="183" t="s">
        <v>165</v>
      </c>
      <c r="D41" s="183" t="s">
        <v>175</v>
      </c>
      <c r="E41" s="183" t="b">
        <v>0</v>
      </c>
      <c r="F41" s="183" t="s">
        <v>170</v>
      </c>
      <c r="G41" s="183" t="s">
        <v>168</v>
      </c>
      <c r="H41" s="50" t="str">
        <f t="shared" si="0"/>
        <v>Clun River|LFA|FALSE|900to1200|FreeDrain</v>
      </c>
      <c r="I41" s="129">
        <v>0.1524549540354922</v>
      </c>
      <c r="J41" s="47">
        <v>14.237337864236327</v>
      </c>
      <c r="K41" s="34" t="str">
        <f t="shared" si="1"/>
        <v>LFA|900to1200</v>
      </c>
      <c r="L41" s="44">
        <f>AVERAGE(I41:I42,I117)</f>
        <v>0.4700903514189218</v>
      </c>
      <c r="M41" s="129">
        <f>AVERAGE(J41:J42,J117)</f>
        <v>13.101499006352908</v>
      </c>
      <c r="N41" s="47"/>
      <c r="O41" s="47"/>
      <c r="P41" s="122"/>
    </row>
    <row r="42" spans="2:16" x14ac:dyDescent="0.35">
      <c r="B42" s="132"/>
      <c r="C42" s="183" t="s">
        <v>165</v>
      </c>
      <c r="D42" s="183" t="s">
        <v>175</v>
      </c>
      <c r="E42" s="183" t="b">
        <v>0</v>
      </c>
      <c r="F42" s="183" t="s">
        <v>170</v>
      </c>
      <c r="G42" s="183" t="s">
        <v>169</v>
      </c>
      <c r="H42" s="50" t="str">
        <f t="shared" si="0"/>
        <v>Clun River|LFA|FALSE|900to1200|DrainedAr</v>
      </c>
      <c r="I42" s="129">
        <v>0.20074116947867102</v>
      </c>
      <c r="J42" s="47">
        <v>13.46819241840709</v>
      </c>
      <c r="K42" s="34" t="str">
        <f t="shared" si="1"/>
        <v>LFA|900to1200</v>
      </c>
      <c r="L42" s="44"/>
      <c r="M42" s="129"/>
      <c r="N42" s="47"/>
      <c r="O42" s="47"/>
      <c r="P42" s="122"/>
    </row>
    <row r="43" spans="2:16" x14ac:dyDescent="0.35">
      <c r="B43" s="132"/>
      <c r="C43" s="183" t="s">
        <v>165</v>
      </c>
      <c r="D43" s="183" t="s">
        <v>176</v>
      </c>
      <c r="E43" s="183" t="b">
        <v>0</v>
      </c>
      <c r="F43" s="183" t="s">
        <v>167</v>
      </c>
      <c r="G43" s="183" t="s">
        <v>168</v>
      </c>
      <c r="H43" s="50" t="str">
        <f t="shared" si="0"/>
        <v>Clun River|Lowland|FALSE|700to900|FreeDrain</v>
      </c>
      <c r="I43" s="129">
        <v>0.11129561463435367</v>
      </c>
      <c r="J43" s="47">
        <v>16.700454848456928</v>
      </c>
      <c r="K43" s="34" t="str">
        <f t="shared" si="1"/>
        <v>Lowland|700to900</v>
      </c>
      <c r="L43" s="44">
        <f>AVERAGE(I43:I45)</f>
        <v>0.34150676031209831</v>
      </c>
      <c r="M43" s="129">
        <f>AVERAGE(J43:J45)</f>
        <v>13.192974172292523</v>
      </c>
      <c r="N43" s="47">
        <f>AVERAGE(I43:I48)</f>
        <v>0.45470244721505698</v>
      </c>
      <c r="O43" s="47">
        <f>AVERAGE(J43:J48)</f>
        <v>14.541002632031164</v>
      </c>
      <c r="P43" s="122"/>
    </row>
    <row r="44" spans="2:16" x14ac:dyDescent="0.35">
      <c r="B44" s="132"/>
      <c r="C44" s="183" t="s">
        <v>165</v>
      </c>
      <c r="D44" s="183" t="s">
        <v>176</v>
      </c>
      <c r="E44" s="183" t="b">
        <v>0</v>
      </c>
      <c r="F44" s="183" t="s">
        <v>167</v>
      </c>
      <c r="G44" s="183" t="s">
        <v>169</v>
      </c>
      <c r="H44" s="50" t="str">
        <f t="shared" si="0"/>
        <v>Clun River|Lowland|FALSE|700to900|DrainedAr</v>
      </c>
      <c r="I44" s="129">
        <v>0.17681702972533253</v>
      </c>
      <c r="J44" s="47">
        <v>12.966555758522601</v>
      </c>
      <c r="K44" s="34" t="str">
        <f t="shared" si="1"/>
        <v>Lowland|700to900</v>
      </c>
      <c r="L44" s="44"/>
      <c r="M44" s="129"/>
      <c r="N44" s="47"/>
      <c r="O44" s="47"/>
      <c r="P44" s="122"/>
    </row>
    <row r="45" spans="2:16" x14ac:dyDescent="0.35">
      <c r="B45" s="132"/>
      <c r="C45" s="183" t="s">
        <v>165</v>
      </c>
      <c r="D45" s="183" t="s">
        <v>176</v>
      </c>
      <c r="E45" s="183" t="b">
        <v>0</v>
      </c>
      <c r="F45" s="183" t="s">
        <v>167</v>
      </c>
      <c r="G45" s="183" t="s">
        <v>173</v>
      </c>
      <c r="H45" s="50" t="str">
        <f t="shared" si="0"/>
        <v>Clun River|Lowland|FALSE|700to900|DrainedArGr</v>
      </c>
      <c r="I45" s="129">
        <v>0.73640763657660879</v>
      </c>
      <c r="J45" s="47">
        <v>9.9119119098980395</v>
      </c>
      <c r="K45" s="34" t="str">
        <f t="shared" si="1"/>
        <v>Lowland|700to900</v>
      </c>
      <c r="L45" s="44"/>
      <c r="M45" s="129"/>
      <c r="N45" s="47"/>
      <c r="O45" s="47"/>
      <c r="P45" s="122"/>
    </row>
    <row r="46" spans="2:16" x14ac:dyDescent="0.35">
      <c r="B46" s="132"/>
      <c r="C46" s="183" t="s">
        <v>165</v>
      </c>
      <c r="D46" s="183" t="s">
        <v>176</v>
      </c>
      <c r="E46" s="183" t="b">
        <v>0</v>
      </c>
      <c r="F46" s="183" t="s">
        <v>170</v>
      </c>
      <c r="G46" s="183" t="s">
        <v>168</v>
      </c>
      <c r="H46" s="50" t="str">
        <f t="shared" si="0"/>
        <v>Clun River|Lowland|FALSE|900to1200|FreeDrain</v>
      </c>
      <c r="I46" s="129">
        <v>0.17445775563105892</v>
      </c>
      <c r="J46" s="47">
        <v>17.854022468591708</v>
      </c>
      <c r="K46" s="34" t="str">
        <f t="shared" si="1"/>
        <v>Lowland|900to1200</v>
      </c>
      <c r="L46" s="44">
        <f>AVERAGE(I46:I48)</f>
        <v>0.56789813411801571</v>
      </c>
      <c r="M46" s="129">
        <f>AVERAGE(J46:J48)</f>
        <v>15.889031091769802</v>
      </c>
      <c r="N46" s="47"/>
      <c r="O46" s="47"/>
      <c r="P46" s="122"/>
    </row>
    <row r="47" spans="2:16" x14ac:dyDescent="0.35">
      <c r="B47" s="132"/>
      <c r="C47" s="183" t="s">
        <v>165</v>
      </c>
      <c r="D47" s="183" t="s">
        <v>176</v>
      </c>
      <c r="E47" s="183" t="b">
        <v>0</v>
      </c>
      <c r="F47" s="183" t="s">
        <v>170</v>
      </c>
      <c r="G47" s="183" t="s">
        <v>169</v>
      </c>
      <c r="H47" s="50" t="str">
        <f t="shared" si="0"/>
        <v>Clun River|Lowland|FALSE|900to1200|DrainedAr</v>
      </c>
      <c r="I47" s="129">
        <v>0.30534104178084409</v>
      </c>
      <c r="J47" s="47">
        <v>16.675795210984262</v>
      </c>
      <c r="K47" s="34" t="str">
        <f t="shared" si="1"/>
        <v>Lowland|900to1200</v>
      </c>
      <c r="L47" s="44"/>
      <c r="M47" s="129"/>
      <c r="N47" s="47"/>
      <c r="O47" s="47"/>
      <c r="P47" s="122"/>
    </row>
    <row r="48" spans="2:16" x14ac:dyDescent="0.35">
      <c r="B48" s="132"/>
      <c r="C48" s="183" t="s">
        <v>165</v>
      </c>
      <c r="D48" s="183" t="s">
        <v>176</v>
      </c>
      <c r="E48" s="183" t="b">
        <v>0</v>
      </c>
      <c r="F48" s="183" t="s">
        <v>170</v>
      </c>
      <c r="G48" s="183" t="s">
        <v>173</v>
      </c>
      <c r="H48" s="50" t="str">
        <f t="shared" si="0"/>
        <v>Clun River|Lowland|FALSE|900to1200|DrainedArGr</v>
      </c>
      <c r="I48" s="129">
        <v>1.2238956049421441</v>
      </c>
      <c r="J48" s="47">
        <v>13.137275595733437</v>
      </c>
      <c r="K48" s="34" t="str">
        <f t="shared" si="1"/>
        <v>Lowland|900to1200</v>
      </c>
      <c r="L48" s="44"/>
      <c r="M48" s="129"/>
      <c r="N48" s="47"/>
      <c r="O48" s="47"/>
      <c r="P48" s="122"/>
    </row>
    <row r="49" spans="2:16" x14ac:dyDescent="0.35">
      <c r="B49" s="132"/>
      <c r="C49" s="183" t="s">
        <v>165</v>
      </c>
      <c r="D49" s="183" t="s">
        <v>177</v>
      </c>
      <c r="E49" s="183" t="b">
        <v>0</v>
      </c>
      <c r="F49" s="183" t="s">
        <v>167</v>
      </c>
      <c r="G49" s="183" t="s">
        <v>168</v>
      </c>
      <c r="H49" s="50" t="str">
        <f t="shared" si="0"/>
        <v>Clun River|Mixed|FALSE|700to900|FreeDrain</v>
      </c>
      <c r="I49" s="129">
        <v>0.14296625986725392</v>
      </c>
      <c r="J49" s="47">
        <v>26.389785701942774</v>
      </c>
      <c r="K49" s="34" t="str">
        <f t="shared" si="1"/>
        <v>Mixed|700to900</v>
      </c>
      <c r="L49" s="44">
        <f>AVERAGE(I49:I51)</f>
        <v>0.5079932111451495</v>
      </c>
      <c r="M49" s="129">
        <f>AVERAGE(J49:J51)</f>
        <v>21.375812848099944</v>
      </c>
      <c r="N49" s="47">
        <f>AVERAGE(I49:I53)</f>
        <v>0.52449354131209647</v>
      </c>
      <c r="O49" s="47">
        <f>AVERAGE(J49:J53)</f>
        <v>23.576860211670528</v>
      </c>
      <c r="P49" s="122"/>
    </row>
    <row r="50" spans="2:16" x14ac:dyDescent="0.35">
      <c r="B50" s="132"/>
      <c r="C50" s="183" t="s">
        <v>165</v>
      </c>
      <c r="D50" s="183" t="s">
        <v>177</v>
      </c>
      <c r="E50" s="183" t="b">
        <v>0</v>
      </c>
      <c r="F50" s="183" t="s">
        <v>167</v>
      </c>
      <c r="G50" s="183" t="s">
        <v>169</v>
      </c>
      <c r="H50" s="50" t="str">
        <f t="shared" si="0"/>
        <v>Clun River|Mixed|FALSE|700to900|DrainedAr</v>
      </c>
      <c r="I50" s="129">
        <v>0.46189203575820836</v>
      </c>
      <c r="J50" s="47">
        <v>20.334435842636999</v>
      </c>
      <c r="K50" s="34" t="str">
        <f t="shared" si="1"/>
        <v>Mixed|700to900</v>
      </c>
      <c r="L50" s="44"/>
      <c r="M50" s="129"/>
      <c r="N50" s="47"/>
      <c r="O50" s="47"/>
      <c r="P50" s="122"/>
    </row>
    <row r="51" spans="2:16" x14ac:dyDescent="0.35">
      <c r="B51" s="132"/>
      <c r="C51" s="183" t="s">
        <v>165</v>
      </c>
      <c r="D51" s="183" t="s">
        <v>177</v>
      </c>
      <c r="E51" s="183" t="b">
        <v>0</v>
      </c>
      <c r="F51" s="183" t="s">
        <v>167</v>
      </c>
      <c r="G51" s="183" t="s">
        <v>173</v>
      </c>
      <c r="H51" s="50" t="str">
        <f t="shared" si="0"/>
        <v>Clun River|Mixed|FALSE|700to900|DrainedArGr</v>
      </c>
      <c r="I51" s="129">
        <v>0.91912133780998628</v>
      </c>
      <c r="J51" s="47">
        <v>17.403216999720055</v>
      </c>
      <c r="K51" s="34" t="str">
        <f t="shared" si="1"/>
        <v>Mixed|700to900</v>
      </c>
      <c r="L51" s="44"/>
      <c r="M51" s="129"/>
      <c r="N51" s="47"/>
      <c r="O51" s="47"/>
      <c r="P51" s="122"/>
    </row>
    <row r="52" spans="2:16" x14ac:dyDescent="0.35">
      <c r="B52" s="132"/>
      <c r="C52" s="183" t="s">
        <v>165</v>
      </c>
      <c r="D52" s="183" t="s">
        <v>177</v>
      </c>
      <c r="E52" s="183" t="b">
        <v>0</v>
      </c>
      <c r="F52" s="183" t="s">
        <v>170</v>
      </c>
      <c r="G52" s="183" t="s">
        <v>168</v>
      </c>
      <c r="H52" s="50" t="str">
        <f t="shared" si="0"/>
        <v>Clun River|Mixed|FALSE|900to1200|FreeDrain</v>
      </c>
      <c r="I52" s="129">
        <v>0.23859505698018652</v>
      </c>
      <c r="J52" s="47">
        <v>28.007670796294498</v>
      </c>
      <c r="K52" s="34" t="str">
        <f t="shared" si="1"/>
        <v>Mixed|900to1200</v>
      </c>
      <c r="L52" s="44">
        <f>AVERAGE(I52:I53)</f>
        <v>0.54924403656251708</v>
      </c>
      <c r="M52" s="129">
        <f>AVERAGE(J52:J53)</f>
        <v>26.878431257026399</v>
      </c>
      <c r="N52" s="47"/>
      <c r="O52" s="47"/>
      <c r="P52" s="122"/>
    </row>
    <row r="53" spans="2:16" x14ac:dyDescent="0.35">
      <c r="B53" s="132"/>
      <c r="C53" s="183" t="s">
        <v>165</v>
      </c>
      <c r="D53" s="183" t="s">
        <v>177</v>
      </c>
      <c r="E53" s="183" t="b">
        <v>0</v>
      </c>
      <c r="F53" s="183" t="s">
        <v>170</v>
      </c>
      <c r="G53" s="183" t="s">
        <v>169</v>
      </c>
      <c r="H53" s="50" t="str">
        <f>C53&amp;"|"&amp;D53&amp;"|"&amp;E53&amp;"|"&amp;F53&amp;"|"&amp;G53</f>
        <v>Clun River|Mixed|FALSE|900to1200|DrainedAr</v>
      </c>
      <c r="I53" s="129">
        <v>0.8598930161448477</v>
      </c>
      <c r="J53" s="47">
        <v>25.749191717758301</v>
      </c>
      <c r="K53" s="34" t="str">
        <f>D53&amp;"|"&amp;F53&amp;""</f>
        <v>Mixed|900to1200</v>
      </c>
      <c r="L53" s="44"/>
      <c r="M53" s="129"/>
      <c r="N53" s="47"/>
      <c r="O53" s="47"/>
      <c r="P53" s="122"/>
    </row>
    <row r="54" spans="2:16" x14ac:dyDescent="0.35">
      <c r="B54" s="132"/>
      <c r="C54" s="183" t="s">
        <v>178</v>
      </c>
      <c r="D54" s="183" t="s">
        <v>166</v>
      </c>
      <c r="E54" s="183" t="b">
        <v>0</v>
      </c>
      <c r="F54" s="183" t="s">
        <v>179</v>
      </c>
      <c r="G54" s="183" t="s">
        <v>168</v>
      </c>
      <c r="H54" s="50" t="str">
        <f>D54&amp;"|"&amp;E54&amp;"|"&amp;F54&amp;"|"&amp;G54</f>
        <v>Cereals|FALSE|600to700|FreeDrain</v>
      </c>
      <c r="I54" s="129">
        <v>5.43751390137579E-2</v>
      </c>
      <c r="J54" s="47">
        <v>24.066614067096904</v>
      </c>
      <c r="K54" s="34" t="str">
        <f t="shared" si="1"/>
        <v>Cereals|600to700</v>
      </c>
      <c r="L54" s="44"/>
      <c r="M54" s="129"/>
      <c r="N54" s="47"/>
      <c r="O54" s="47"/>
      <c r="P54" s="122"/>
    </row>
    <row r="55" spans="2:16" x14ac:dyDescent="0.35">
      <c r="B55" s="132"/>
      <c r="C55" s="183" t="s">
        <v>178</v>
      </c>
      <c r="D55" s="183" t="s">
        <v>166</v>
      </c>
      <c r="E55" s="183" t="b">
        <v>1</v>
      </c>
      <c r="F55" s="183" t="s">
        <v>179</v>
      </c>
      <c r="G55" s="183" t="s">
        <v>168</v>
      </c>
      <c r="H55" s="50" t="str">
        <f t="shared" ref="H55:H118" si="2">D55&amp;"|"&amp;E55&amp;"|"&amp;F55&amp;"|"&amp;G55</f>
        <v>Cereals|TRUE|600to700|FreeDrain</v>
      </c>
      <c r="I55" s="129">
        <v>5.4370400056318206E-2</v>
      </c>
      <c r="J55" s="47">
        <v>23.98617885972072</v>
      </c>
      <c r="K55" s="34" t="str">
        <f t="shared" si="1"/>
        <v>Cereals|600to700</v>
      </c>
      <c r="L55" s="44"/>
      <c r="M55" s="129"/>
      <c r="N55" s="47"/>
      <c r="O55" s="47"/>
      <c r="P55" s="122"/>
    </row>
    <row r="56" spans="2:16" x14ac:dyDescent="0.35">
      <c r="B56" s="132"/>
      <c r="C56" s="183" t="s">
        <v>178</v>
      </c>
      <c r="D56" s="183" t="s">
        <v>166</v>
      </c>
      <c r="E56" s="183" t="b">
        <v>0</v>
      </c>
      <c r="F56" s="183" t="s">
        <v>179</v>
      </c>
      <c r="G56" s="183" t="s">
        <v>169</v>
      </c>
      <c r="H56" s="50" t="str">
        <f t="shared" si="2"/>
        <v>Cereals|FALSE|600to700|DrainedAr</v>
      </c>
      <c r="I56" s="129">
        <v>0.2971811890508132</v>
      </c>
      <c r="J56" s="47">
        <v>17.745012709363436</v>
      </c>
      <c r="K56" s="34" t="str">
        <f t="shared" si="1"/>
        <v>Cereals|600to700</v>
      </c>
      <c r="L56" s="44"/>
      <c r="M56" s="129"/>
      <c r="N56" s="47"/>
      <c r="O56" s="47"/>
      <c r="P56" s="122"/>
    </row>
    <row r="57" spans="2:16" x14ac:dyDescent="0.35">
      <c r="B57" s="132"/>
      <c r="C57" s="183" t="s">
        <v>178</v>
      </c>
      <c r="D57" s="183" t="s">
        <v>166</v>
      </c>
      <c r="E57" s="183" t="b">
        <v>1</v>
      </c>
      <c r="F57" s="183" t="s">
        <v>179</v>
      </c>
      <c r="G57" s="183" t="s">
        <v>169</v>
      </c>
      <c r="H57" s="50" t="str">
        <f t="shared" si="2"/>
        <v>Cereals|TRUE|600to700|DrainedAr</v>
      </c>
      <c r="I57" s="129">
        <v>0.29715499944143031</v>
      </c>
      <c r="J57" s="47">
        <v>17.691004472036251</v>
      </c>
      <c r="K57" s="34" t="str">
        <f t="shared" si="1"/>
        <v>Cereals|600to700</v>
      </c>
      <c r="L57" s="44"/>
      <c r="M57" s="129"/>
      <c r="N57" s="47"/>
      <c r="O57" s="47"/>
      <c r="P57" s="122"/>
    </row>
    <row r="58" spans="2:16" x14ac:dyDescent="0.35">
      <c r="B58" s="132"/>
      <c r="C58" s="183" t="s">
        <v>178</v>
      </c>
      <c r="D58" s="183" t="s">
        <v>166</v>
      </c>
      <c r="E58" s="183" t="b">
        <v>1</v>
      </c>
      <c r="F58" s="183" t="s">
        <v>179</v>
      </c>
      <c r="G58" s="183" t="s">
        <v>173</v>
      </c>
      <c r="H58" s="50" t="str">
        <f t="shared" si="2"/>
        <v>Cereals|TRUE|600to700|DrainedArGr</v>
      </c>
      <c r="I58" s="129">
        <v>0.50609481194485961</v>
      </c>
      <c r="J58" s="47">
        <v>18.969824785303537</v>
      </c>
      <c r="K58" s="34" t="str">
        <f t="shared" si="1"/>
        <v>Cereals|600to700</v>
      </c>
      <c r="L58" s="44"/>
      <c r="M58" s="129"/>
      <c r="N58" s="47"/>
      <c r="O58" s="47"/>
      <c r="P58" s="122"/>
    </row>
    <row r="59" spans="2:16" x14ac:dyDescent="0.35">
      <c r="B59" s="132"/>
      <c r="C59" s="183" t="s">
        <v>178</v>
      </c>
      <c r="D59" s="183" t="s">
        <v>166</v>
      </c>
      <c r="E59" s="183" t="b">
        <v>0</v>
      </c>
      <c r="F59" s="183" t="s">
        <v>167</v>
      </c>
      <c r="G59" s="183" t="s">
        <v>168</v>
      </c>
      <c r="H59" s="50" t="str">
        <f t="shared" si="2"/>
        <v>Cereals|FALSE|700to900|FreeDrain</v>
      </c>
      <c r="I59" s="129">
        <v>0.15182259960059011</v>
      </c>
      <c r="J59" s="47">
        <v>28.889830213224158</v>
      </c>
      <c r="K59" s="34" t="str">
        <f t="shared" si="1"/>
        <v>Cereals|700to900</v>
      </c>
      <c r="L59" s="44"/>
      <c r="M59" s="129"/>
      <c r="N59" s="47"/>
      <c r="O59" s="47"/>
      <c r="P59" s="122"/>
    </row>
    <row r="60" spans="2:16" x14ac:dyDescent="0.35">
      <c r="B60" s="132"/>
      <c r="C60" s="183" t="s">
        <v>178</v>
      </c>
      <c r="D60" s="183" t="s">
        <v>166</v>
      </c>
      <c r="E60" s="183" t="b">
        <v>1</v>
      </c>
      <c r="F60" s="183" t="s">
        <v>167</v>
      </c>
      <c r="G60" s="183" t="s">
        <v>168</v>
      </c>
      <c r="H60" s="50" t="str">
        <f t="shared" si="2"/>
        <v>Cereals|TRUE|700to900|FreeDrain</v>
      </c>
      <c r="I60" s="129">
        <v>0.15181394973496509</v>
      </c>
      <c r="J60" s="47">
        <v>28.794529594418325</v>
      </c>
      <c r="K60" s="34" t="str">
        <f t="shared" si="1"/>
        <v>Cereals|700to900</v>
      </c>
      <c r="L60" s="44"/>
      <c r="M60" s="129"/>
      <c r="N60" s="47"/>
      <c r="O60" s="47"/>
      <c r="P60" s="122"/>
    </row>
    <row r="61" spans="2:16" x14ac:dyDescent="0.35">
      <c r="B61" s="132"/>
      <c r="C61" s="183" t="s">
        <v>178</v>
      </c>
      <c r="D61" s="183" t="s">
        <v>166</v>
      </c>
      <c r="E61" s="183" t="b">
        <v>0</v>
      </c>
      <c r="F61" s="183" t="s">
        <v>167</v>
      </c>
      <c r="G61" s="183" t="s">
        <v>169</v>
      </c>
      <c r="H61" s="50" t="str">
        <f t="shared" si="2"/>
        <v>Cereals|FALSE|700to900|DrainedAr</v>
      </c>
      <c r="I61" s="129">
        <v>0.64247983254461705</v>
      </c>
      <c r="J61" s="47">
        <v>22.290339668047327</v>
      </c>
      <c r="K61" s="34" t="str">
        <f t="shared" si="1"/>
        <v>Cereals|700to900</v>
      </c>
      <c r="L61" s="44"/>
      <c r="M61" s="129"/>
      <c r="N61" s="47"/>
      <c r="O61" s="47"/>
      <c r="P61" s="122"/>
    </row>
    <row r="62" spans="2:16" x14ac:dyDescent="0.35">
      <c r="B62" s="132"/>
      <c r="C62" s="183" t="s">
        <v>178</v>
      </c>
      <c r="D62" s="183" t="s">
        <v>166</v>
      </c>
      <c r="E62" s="183" t="b">
        <v>1</v>
      </c>
      <c r="F62" s="183" t="s">
        <v>167</v>
      </c>
      <c r="G62" s="183" t="s">
        <v>169</v>
      </c>
      <c r="H62" s="50" t="str">
        <f t="shared" si="2"/>
        <v>Cereals|TRUE|700to900|DrainedAr</v>
      </c>
      <c r="I62" s="129">
        <v>0.64244280952365385</v>
      </c>
      <c r="J62" s="47">
        <v>22.224438391166945</v>
      </c>
      <c r="K62" s="34" t="str">
        <f t="shared" si="1"/>
        <v>Cereals|700to900</v>
      </c>
      <c r="L62" s="44"/>
      <c r="M62" s="129"/>
      <c r="N62" s="47"/>
      <c r="O62" s="47"/>
      <c r="P62" s="122"/>
    </row>
    <row r="63" spans="2:16" x14ac:dyDescent="0.35">
      <c r="B63" s="132"/>
      <c r="C63" s="183" t="s">
        <v>178</v>
      </c>
      <c r="D63" s="183" t="s">
        <v>166</v>
      </c>
      <c r="E63" s="183" t="b">
        <v>0</v>
      </c>
      <c r="F63" s="183" t="s">
        <v>167</v>
      </c>
      <c r="G63" s="183" t="s">
        <v>173</v>
      </c>
      <c r="H63" s="50" t="str">
        <f t="shared" si="2"/>
        <v>Cereals|FALSE|700to900|DrainedArGr</v>
      </c>
      <c r="I63" s="129">
        <v>0.89527177499304533</v>
      </c>
      <c r="J63" s="47">
        <v>20.963856175732808</v>
      </c>
      <c r="K63" s="34" t="str">
        <f t="shared" si="1"/>
        <v>Cereals|700to900</v>
      </c>
      <c r="L63" s="44"/>
      <c r="M63" s="129"/>
      <c r="N63" s="47"/>
      <c r="O63" s="47"/>
      <c r="P63" s="122"/>
    </row>
    <row r="64" spans="2:16" x14ac:dyDescent="0.35">
      <c r="B64" s="132"/>
      <c r="C64" s="183" t="s">
        <v>178</v>
      </c>
      <c r="D64" s="183" t="s">
        <v>166</v>
      </c>
      <c r="E64" s="183" t="b">
        <v>1</v>
      </c>
      <c r="F64" s="183" t="s">
        <v>167</v>
      </c>
      <c r="G64" s="183" t="s">
        <v>173</v>
      </c>
      <c r="H64" s="50" t="str">
        <f t="shared" si="2"/>
        <v>Cereals|TRUE|700to900|DrainedArGr</v>
      </c>
      <c r="I64" s="129">
        <v>0.89518143999068756</v>
      </c>
      <c r="J64" s="47">
        <v>20.909798852348558</v>
      </c>
      <c r="K64" s="34" t="str">
        <f t="shared" si="1"/>
        <v>Cereals|700to900</v>
      </c>
      <c r="L64" s="44"/>
      <c r="M64" s="129"/>
      <c r="N64" s="47"/>
      <c r="O64" s="47"/>
      <c r="P64" s="122"/>
    </row>
    <row r="65" spans="2:16" x14ac:dyDescent="0.35">
      <c r="B65" s="132"/>
      <c r="C65" s="183" t="s">
        <v>178</v>
      </c>
      <c r="D65" s="183" t="s">
        <v>166</v>
      </c>
      <c r="E65" s="183" t="b">
        <v>0</v>
      </c>
      <c r="F65" s="183" t="s">
        <v>170</v>
      </c>
      <c r="G65" s="183" t="s">
        <v>168</v>
      </c>
      <c r="H65" s="50" t="str">
        <f t="shared" si="2"/>
        <v>Cereals|FALSE|900to1200|FreeDrain</v>
      </c>
      <c r="I65" s="129">
        <v>0.26429791732246055</v>
      </c>
      <c r="J65" s="47">
        <v>30.707914850406208</v>
      </c>
      <c r="K65" s="34" t="str">
        <f t="shared" si="1"/>
        <v>Cereals|900to1200</v>
      </c>
      <c r="L65" s="44"/>
      <c r="M65" s="129"/>
      <c r="N65" s="47"/>
      <c r="O65" s="47"/>
      <c r="P65" s="122"/>
    </row>
    <row r="66" spans="2:16" x14ac:dyDescent="0.35">
      <c r="B66" s="132"/>
      <c r="C66" s="183" t="s">
        <v>178</v>
      </c>
      <c r="D66" s="183" t="s">
        <v>166</v>
      </c>
      <c r="E66" s="183" t="b">
        <v>0</v>
      </c>
      <c r="F66" s="183" t="s">
        <v>170</v>
      </c>
      <c r="G66" s="183" t="s">
        <v>169</v>
      </c>
      <c r="H66" s="50" t="str">
        <f t="shared" si="2"/>
        <v>Cereals|FALSE|900to1200|DrainedAr</v>
      </c>
      <c r="I66" s="129">
        <v>1.2125405860647231</v>
      </c>
      <c r="J66" s="47">
        <v>28.554954824712937</v>
      </c>
      <c r="K66" s="34" t="str">
        <f t="shared" si="1"/>
        <v>Cereals|900to1200</v>
      </c>
      <c r="L66" s="44"/>
      <c r="M66" s="129"/>
      <c r="N66" s="47"/>
      <c r="O66" s="47"/>
      <c r="P66" s="122"/>
    </row>
    <row r="67" spans="2:16" x14ac:dyDescent="0.35">
      <c r="B67" s="132"/>
      <c r="C67" s="183" t="s">
        <v>178</v>
      </c>
      <c r="D67" s="183" t="s">
        <v>171</v>
      </c>
      <c r="E67" s="183" t="b">
        <v>0</v>
      </c>
      <c r="F67" s="183" t="s">
        <v>179</v>
      </c>
      <c r="G67" s="183" t="s">
        <v>168</v>
      </c>
      <c r="H67" s="50" t="str">
        <f t="shared" si="2"/>
        <v>General|FALSE|600to700|FreeDrain</v>
      </c>
      <c r="I67" s="129">
        <v>4.4771711494653102E-2</v>
      </c>
      <c r="J67" s="47">
        <v>19.632059598373786</v>
      </c>
      <c r="K67" s="34" t="str">
        <f t="shared" si="1"/>
        <v>General|600to700</v>
      </c>
      <c r="L67" s="44"/>
      <c r="M67" s="129"/>
      <c r="N67" s="47"/>
      <c r="O67" s="47"/>
      <c r="P67" s="122"/>
    </row>
    <row r="68" spans="2:16" x14ac:dyDescent="0.35">
      <c r="B68" s="132"/>
      <c r="C68" s="183" t="s">
        <v>178</v>
      </c>
      <c r="D68" s="183" t="s">
        <v>171</v>
      </c>
      <c r="E68" s="183" t="b">
        <v>1</v>
      </c>
      <c r="F68" s="183" t="s">
        <v>179</v>
      </c>
      <c r="G68" s="183" t="s">
        <v>168</v>
      </c>
      <c r="H68" s="50" t="str">
        <f t="shared" si="2"/>
        <v>General|TRUE|600to700|FreeDrain</v>
      </c>
      <c r="I68" s="129">
        <v>4.4771711494653102E-2</v>
      </c>
      <c r="J68" s="47">
        <v>19.575211759467351</v>
      </c>
      <c r="K68" s="34" t="str">
        <f t="shared" si="1"/>
        <v>General|600to700</v>
      </c>
      <c r="L68" s="44"/>
      <c r="M68" s="129"/>
      <c r="N68" s="47"/>
      <c r="O68" s="47"/>
      <c r="P68" s="122"/>
    </row>
    <row r="69" spans="2:16" x14ac:dyDescent="0.35">
      <c r="B69" s="132"/>
      <c r="C69" s="183" t="s">
        <v>178</v>
      </c>
      <c r="D69" s="183" t="s">
        <v>171</v>
      </c>
      <c r="E69" s="183" t="b">
        <v>0</v>
      </c>
      <c r="F69" s="183" t="s">
        <v>179</v>
      </c>
      <c r="G69" s="183" t="s">
        <v>169</v>
      </c>
      <c r="H69" s="50" t="str">
        <f t="shared" si="2"/>
        <v>General|FALSE|600to700|DrainedAr</v>
      </c>
      <c r="I69" s="129">
        <v>0.21296146062038332</v>
      </c>
      <c r="J69" s="47">
        <v>13.78011020168355</v>
      </c>
      <c r="K69" s="34" t="str">
        <f t="shared" si="1"/>
        <v>General|600to700</v>
      </c>
      <c r="L69" s="44"/>
      <c r="M69" s="129"/>
      <c r="N69" s="47"/>
      <c r="O69" s="47"/>
      <c r="P69" s="122"/>
    </row>
    <row r="70" spans="2:16" x14ac:dyDescent="0.35">
      <c r="B70" s="132"/>
      <c r="C70" s="183" t="s">
        <v>178</v>
      </c>
      <c r="D70" s="183" t="s">
        <v>171</v>
      </c>
      <c r="E70" s="183" t="b">
        <v>1</v>
      </c>
      <c r="F70" s="183" t="s">
        <v>179</v>
      </c>
      <c r="G70" s="183" t="s">
        <v>169</v>
      </c>
      <c r="H70" s="50" t="str">
        <f t="shared" si="2"/>
        <v>General|TRUE|600to700|DrainedAr</v>
      </c>
      <c r="I70" s="129">
        <v>0.21296146062038332</v>
      </c>
      <c r="J70" s="47">
        <v>13.743556528279298</v>
      </c>
      <c r="K70" s="34" t="str">
        <f t="shared" si="1"/>
        <v>General|600to700</v>
      </c>
      <c r="L70" s="44"/>
      <c r="M70" s="129"/>
      <c r="N70" s="47"/>
      <c r="O70" s="47"/>
      <c r="P70" s="122"/>
    </row>
    <row r="71" spans="2:16" x14ac:dyDescent="0.35">
      <c r="B71" s="132"/>
      <c r="C71" s="183" t="s">
        <v>178</v>
      </c>
      <c r="D71" s="183" t="s">
        <v>171</v>
      </c>
      <c r="E71" s="183" t="b">
        <v>0</v>
      </c>
      <c r="F71" s="183" t="s">
        <v>167</v>
      </c>
      <c r="G71" s="183" t="s">
        <v>168</v>
      </c>
      <c r="H71" s="50" t="str">
        <f t="shared" si="2"/>
        <v>General|FALSE|700to900|FreeDrain</v>
      </c>
      <c r="I71" s="129">
        <v>0.1211248443034328</v>
      </c>
      <c r="J71" s="47">
        <v>23.480003696371533</v>
      </c>
      <c r="K71" s="34" t="str">
        <f t="shared" si="1"/>
        <v>General|700to900</v>
      </c>
      <c r="L71" s="44"/>
      <c r="M71" s="129"/>
      <c r="N71" s="47"/>
      <c r="O71" s="47"/>
      <c r="P71" s="122"/>
    </row>
    <row r="72" spans="2:16" x14ac:dyDescent="0.35">
      <c r="B72" s="132"/>
      <c r="C72" s="183" t="s">
        <v>178</v>
      </c>
      <c r="D72" s="183" t="s">
        <v>171</v>
      </c>
      <c r="E72" s="183" t="b">
        <v>1</v>
      </c>
      <c r="F72" s="183" t="s">
        <v>167</v>
      </c>
      <c r="G72" s="183" t="s">
        <v>168</v>
      </c>
      <c r="H72" s="50" t="str">
        <f t="shared" si="2"/>
        <v>General|TRUE|700to900|FreeDrain</v>
      </c>
      <c r="I72" s="129">
        <v>0.1211248443034328</v>
      </c>
      <c r="J72" s="47">
        <v>23.413147419915468</v>
      </c>
      <c r="K72" s="34" t="str">
        <f>D72&amp;"|"&amp;F72&amp;""</f>
        <v>General|700to900</v>
      </c>
      <c r="L72" s="44"/>
      <c r="M72" s="129"/>
      <c r="N72" s="47"/>
      <c r="O72" s="47"/>
      <c r="P72" s="122"/>
    </row>
    <row r="73" spans="2:16" x14ac:dyDescent="0.35">
      <c r="B73" s="132"/>
      <c r="C73" s="183" t="s">
        <v>178</v>
      </c>
      <c r="D73" s="183" t="s">
        <v>171</v>
      </c>
      <c r="E73" s="183" t="b">
        <v>0</v>
      </c>
      <c r="F73" s="183" t="s">
        <v>167</v>
      </c>
      <c r="G73" s="183" t="s">
        <v>169</v>
      </c>
      <c r="H73" s="50" t="str">
        <f t="shared" si="2"/>
        <v>General|FALSE|700to900|DrainedAr</v>
      </c>
      <c r="I73" s="129">
        <v>0.45615706248040711</v>
      </c>
      <c r="J73" s="47">
        <v>17.263071498954417</v>
      </c>
      <c r="K73" s="34" t="str">
        <f t="shared" si="1"/>
        <v>General|700to900</v>
      </c>
      <c r="L73" s="44"/>
      <c r="M73" s="129"/>
      <c r="N73" s="47"/>
      <c r="O73" s="47"/>
      <c r="P73" s="122"/>
    </row>
    <row r="74" spans="2:16" x14ac:dyDescent="0.35">
      <c r="B74" s="132"/>
      <c r="C74" s="183" t="s">
        <v>178</v>
      </c>
      <c r="D74" s="183" t="s">
        <v>171</v>
      </c>
      <c r="E74" s="183" t="b">
        <v>1</v>
      </c>
      <c r="F74" s="183" t="s">
        <v>167</v>
      </c>
      <c r="G74" s="183" t="s">
        <v>169</v>
      </c>
      <c r="H74" s="50" t="str">
        <f t="shared" si="2"/>
        <v>General|TRUE|700to900|DrainedAr</v>
      </c>
      <c r="I74" s="129">
        <v>0.45615706248040711</v>
      </c>
      <c r="J74" s="47">
        <v>17.218902599564764</v>
      </c>
      <c r="K74" s="34" t="str">
        <f t="shared" si="1"/>
        <v>General|700to900</v>
      </c>
      <c r="L74" s="44"/>
      <c r="M74" s="129"/>
      <c r="N74" s="47"/>
      <c r="O74" s="47"/>
      <c r="P74" s="122"/>
    </row>
    <row r="75" spans="2:16" x14ac:dyDescent="0.35">
      <c r="B75" s="132"/>
      <c r="C75" s="183" t="s">
        <v>178</v>
      </c>
      <c r="D75" s="183" t="s">
        <v>171</v>
      </c>
      <c r="E75" s="183" t="b">
        <v>0</v>
      </c>
      <c r="F75" s="183" t="s">
        <v>167</v>
      </c>
      <c r="G75" s="183" t="s">
        <v>173</v>
      </c>
      <c r="H75" s="50" t="str">
        <f t="shared" si="2"/>
        <v>General|FALSE|700to900|DrainedArGr</v>
      </c>
      <c r="I75" s="129">
        <v>0.7104443054582692</v>
      </c>
      <c r="J75" s="47">
        <v>15.41178531003758</v>
      </c>
      <c r="K75" s="34" t="str">
        <f t="shared" si="1"/>
        <v>General|700to900</v>
      </c>
      <c r="L75" s="44"/>
      <c r="M75" s="129"/>
      <c r="N75" s="47"/>
      <c r="O75" s="47"/>
      <c r="P75" s="122"/>
    </row>
    <row r="76" spans="2:16" x14ac:dyDescent="0.35">
      <c r="B76" s="132"/>
      <c r="C76" s="183" t="s">
        <v>178</v>
      </c>
      <c r="D76" s="183" t="s">
        <v>171</v>
      </c>
      <c r="E76" s="183" t="b">
        <v>1</v>
      </c>
      <c r="F76" s="183" t="s">
        <v>167</v>
      </c>
      <c r="G76" s="183" t="s">
        <v>173</v>
      </c>
      <c r="H76" s="50" t="str">
        <f t="shared" si="2"/>
        <v>General|TRUE|700to900|DrainedArGr</v>
      </c>
      <c r="I76" s="129">
        <v>0.7104443054582692</v>
      </c>
      <c r="J76" s="47">
        <v>15.376552658329446</v>
      </c>
      <c r="K76" s="34" t="str">
        <f t="shared" si="1"/>
        <v>General|700to900</v>
      </c>
      <c r="L76" s="44"/>
      <c r="M76" s="129"/>
      <c r="N76" s="47"/>
      <c r="O76" s="47"/>
      <c r="P76" s="122"/>
    </row>
    <row r="77" spans="2:16" x14ac:dyDescent="0.35">
      <c r="B77" s="132"/>
      <c r="C77" s="183" t="s">
        <v>178</v>
      </c>
      <c r="D77" s="183" t="s">
        <v>171</v>
      </c>
      <c r="E77" s="183" t="b">
        <v>0</v>
      </c>
      <c r="F77" s="183" t="s">
        <v>170</v>
      </c>
      <c r="G77" s="183" t="s">
        <v>168</v>
      </c>
      <c r="H77" s="50" t="str">
        <f t="shared" si="2"/>
        <v>General|FALSE|900to1200|FreeDrain</v>
      </c>
      <c r="I77" s="129">
        <v>0.21703477461264734</v>
      </c>
      <c r="J77" s="47">
        <v>24.968418405515465</v>
      </c>
      <c r="K77" s="34" t="str">
        <f t="shared" si="1"/>
        <v>General|900to1200</v>
      </c>
      <c r="L77" s="44"/>
      <c r="M77" s="129"/>
      <c r="N77" s="47"/>
      <c r="O77" s="47"/>
      <c r="P77" s="122"/>
    </row>
    <row r="78" spans="2:16" x14ac:dyDescent="0.35">
      <c r="B78" s="132"/>
      <c r="C78" s="183" t="s">
        <v>178</v>
      </c>
      <c r="D78" s="183" t="s">
        <v>171</v>
      </c>
      <c r="E78" s="183" t="b">
        <v>0</v>
      </c>
      <c r="F78" s="183" t="s">
        <v>170</v>
      </c>
      <c r="G78" s="183" t="s">
        <v>169</v>
      </c>
      <c r="H78" s="50" t="str">
        <f t="shared" si="2"/>
        <v>General|FALSE|900to1200|DrainedAr</v>
      </c>
      <c r="I78" s="129">
        <v>0.86444221364295948</v>
      </c>
      <c r="J78" s="47">
        <v>21.758344217264352</v>
      </c>
      <c r="K78" s="34" t="str">
        <f t="shared" si="1"/>
        <v>General|900to1200</v>
      </c>
      <c r="L78" s="44"/>
      <c r="M78" s="129"/>
      <c r="N78" s="47"/>
      <c r="O78" s="47"/>
      <c r="P78" s="122"/>
    </row>
    <row r="79" spans="2:16" x14ac:dyDescent="0.35">
      <c r="B79" s="132"/>
      <c r="C79" s="183" t="s">
        <v>178</v>
      </c>
      <c r="D79" s="183" t="s">
        <v>171</v>
      </c>
      <c r="E79" s="183" t="b">
        <v>0</v>
      </c>
      <c r="F79" s="183" t="s">
        <v>170</v>
      </c>
      <c r="G79" s="183" t="s">
        <v>173</v>
      </c>
      <c r="H79" s="50" t="str">
        <f t="shared" si="2"/>
        <v>General|FALSE|900to1200|DrainedArGr</v>
      </c>
      <c r="I79" s="129">
        <v>1.1912728742749668</v>
      </c>
      <c r="J79" s="47">
        <v>17.581498535012742</v>
      </c>
      <c r="K79" s="34" t="str">
        <f t="shared" si="1"/>
        <v>General|900to1200</v>
      </c>
      <c r="L79" s="44"/>
      <c r="M79" s="129"/>
      <c r="N79" s="47"/>
      <c r="O79" s="47"/>
      <c r="P79" s="122"/>
    </row>
    <row r="80" spans="2:16" x14ac:dyDescent="0.35">
      <c r="B80" s="132"/>
      <c r="C80" s="183" t="s">
        <v>178</v>
      </c>
      <c r="D80" s="183" t="s">
        <v>180</v>
      </c>
      <c r="E80" s="183" t="b">
        <v>0</v>
      </c>
      <c r="F80" s="183" t="s">
        <v>179</v>
      </c>
      <c r="G80" s="183" t="s">
        <v>168</v>
      </c>
      <c r="H80" s="50" t="str">
        <f t="shared" si="2"/>
        <v>Hortic|FALSE|600to700|FreeDrain</v>
      </c>
      <c r="I80" s="129">
        <v>3.7040412087368801E-2</v>
      </c>
      <c r="J80" s="47">
        <v>16.323368674595734</v>
      </c>
      <c r="K80" s="34" t="str">
        <f t="shared" si="1"/>
        <v>Hortic|600to700</v>
      </c>
      <c r="L80" s="44"/>
      <c r="M80" s="129"/>
      <c r="N80" s="47"/>
      <c r="O80" s="47"/>
      <c r="P80" s="122"/>
    </row>
    <row r="81" spans="2:16" x14ac:dyDescent="0.35">
      <c r="B81" s="132"/>
      <c r="C81" s="183" t="s">
        <v>178</v>
      </c>
      <c r="D81" s="183" t="s">
        <v>180</v>
      </c>
      <c r="E81" s="183" t="b">
        <v>0</v>
      </c>
      <c r="F81" s="183" t="s">
        <v>179</v>
      </c>
      <c r="G81" s="183" t="s">
        <v>169</v>
      </c>
      <c r="H81" s="50" t="str">
        <f t="shared" si="2"/>
        <v>Hortic|FALSE|600to700|DrainedAr</v>
      </c>
      <c r="I81" s="129">
        <v>0.20052667722645429</v>
      </c>
      <c r="J81" s="47">
        <v>11.290178758505192</v>
      </c>
      <c r="K81" s="34" t="str">
        <f t="shared" si="1"/>
        <v>Hortic|600to700</v>
      </c>
      <c r="L81" s="44"/>
      <c r="M81" s="129"/>
      <c r="N81" s="47"/>
      <c r="O81" s="47"/>
      <c r="P81" s="122"/>
    </row>
    <row r="82" spans="2:16" x14ac:dyDescent="0.35">
      <c r="B82" s="132"/>
      <c r="C82" s="183" t="s">
        <v>178</v>
      </c>
      <c r="D82" s="183" t="s">
        <v>180</v>
      </c>
      <c r="E82" s="183" t="b">
        <v>0</v>
      </c>
      <c r="F82" s="183" t="s">
        <v>167</v>
      </c>
      <c r="G82" s="183" t="s">
        <v>168</v>
      </c>
      <c r="H82" s="50" t="str">
        <f t="shared" si="2"/>
        <v>Hortic|FALSE|700to900|FreeDrain</v>
      </c>
      <c r="I82" s="129">
        <v>0.10492606750602425</v>
      </c>
      <c r="J82" s="47">
        <v>19.50387524374192</v>
      </c>
      <c r="K82" s="34" t="str">
        <f t="shared" si="1"/>
        <v>Hortic|700to900</v>
      </c>
      <c r="L82" s="44"/>
      <c r="M82" s="129"/>
      <c r="N82" s="47"/>
      <c r="O82" s="47"/>
      <c r="P82" s="122"/>
    </row>
    <row r="83" spans="2:16" x14ac:dyDescent="0.35">
      <c r="B83" s="132"/>
      <c r="C83" s="183" t="s">
        <v>178</v>
      </c>
      <c r="D83" s="183" t="s">
        <v>180</v>
      </c>
      <c r="E83" s="183" t="b">
        <v>1</v>
      </c>
      <c r="F83" s="183" t="s">
        <v>167</v>
      </c>
      <c r="G83" s="183" t="s">
        <v>168</v>
      </c>
      <c r="H83" s="50" t="str">
        <f t="shared" si="2"/>
        <v>Hortic|TRUE|700to900|FreeDrain</v>
      </c>
      <c r="I83" s="129">
        <v>0.10492606750602425</v>
      </c>
      <c r="J83" s="47">
        <v>19.446573167907669</v>
      </c>
      <c r="K83" s="34" t="str">
        <f t="shared" si="1"/>
        <v>Hortic|700to900</v>
      </c>
      <c r="L83" s="44"/>
      <c r="M83" s="129"/>
      <c r="N83" s="47"/>
      <c r="O83" s="47"/>
      <c r="P83" s="122"/>
    </row>
    <row r="84" spans="2:16" x14ac:dyDescent="0.35">
      <c r="B84" s="132"/>
      <c r="C84" s="183" t="s">
        <v>178</v>
      </c>
      <c r="D84" s="183" t="s">
        <v>180</v>
      </c>
      <c r="E84" s="183" t="b">
        <v>0</v>
      </c>
      <c r="F84" s="183" t="s">
        <v>167</v>
      </c>
      <c r="G84" s="183" t="s">
        <v>169</v>
      </c>
      <c r="H84" s="50" t="str">
        <f t="shared" si="2"/>
        <v>Hortic|FALSE|700to900|DrainedAr</v>
      </c>
      <c r="I84" s="129">
        <v>0.43027999016434748</v>
      </c>
      <c r="J84" s="47">
        <v>14.112358466300311</v>
      </c>
      <c r="K84" s="34" t="str">
        <f t="shared" si="1"/>
        <v>Hortic|700to900</v>
      </c>
      <c r="L84" s="44"/>
      <c r="M84" s="129"/>
      <c r="N84" s="47"/>
      <c r="O84" s="47"/>
      <c r="P84" s="122"/>
    </row>
    <row r="85" spans="2:16" x14ac:dyDescent="0.35">
      <c r="B85" s="132"/>
      <c r="C85" s="183" t="s">
        <v>178</v>
      </c>
      <c r="D85" s="183" t="s">
        <v>180</v>
      </c>
      <c r="E85" s="183" t="b">
        <v>1</v>
      </c>
      <c r="F85" s="183" t="s">
        <v>167</v>
      </c>
      <c r="G85" s="183" t="s">
        <v>169</v>
      </c>
      <c r="H85" s="50" t="str">
        <f t="shared" si="2"/>
        <v>Hortic|TRUE|700to900|DrainedAr</v>
      </c>
      <c r="I85" s="129">
        <v>0.43027999016434748</v>
      </c>
      <c r="J85" s="47">
        <v>14.074423173379754</v>
      </c>
      <c r="K85" s="34" t="str">
        <f t="shared" si="1"/>
        <v>Hortic|700to900</v>
      </c>
      <c r="L85" s="44"/>
      <c r="M85" s="129"/>
      <c r="N85" s="47"/>
      <c r="O85" s="47"/>
      <c r="P85" s="122"/>
    </row>
    <row r="86" spans="2:16" x14ac:dyDescent="0.35">
      <c r="B86" s="132"/>
      <c r="C86" s="183" t="s">
        <v>178</v>
      </c>
      <c r="D86" s="183" t="s">
        <v>180</v>
      </c>
      <c r="E86" s="183" t="b">
        <v>0</v>
      </c>
      <c r="F86" s="183" t="s">
        <v>167</v>
      </c>
      <c r="G86" s="183" t="s">
        <v>173</v>
      </c>
      <c r="H86" s="50" t="str">
        <f t="shared" si="2"/>
        <v>Hortic|FALSE|700to900|DrainedArGr</v>
      </c>
      <c r="I86" s="129">
        <v>0.62836727802710801</v>
      </c>
      <c r="J86" s="47">
        <v>12.475935359481747</v>
      </c>
      <c r="K86" s="34" t="str">
        <f t="shared" si="1"/>
        <v>Hortic|700to900</v>
      </c>
      <c r="L86" s="44"/>
      <c r="M86" s="129"/>
      <c r="N86" s="47"/>
      <c r="O86" s="47"/>
      <c r="P86" s="122"/>
    </row>
    <row r="87" spans="2:16" x14ac:dyDescent="0.35">
      <c r="B87" s="132"/>
      <c r="C87" s="183" t="s">
        <v>178</v>
      </c>
      <c r="D87" s="183" t="s">
        <v>180</v>
      </c>
      <c r="E87" s="183" t="b">
        <v>1</v>
      </c>
      <c r="F87" s="183" t="s">
        <v>167</v>
      </c>
      <c r="G87" s="183" t="s">
        <v>173</v>
      </c>
      <c r="H87" s="50" t="str">
        <f t="shared" si="2"/>
        <v>Hortic|TRUE|700to900|DrainedArGr</v>
      </c>
      <c r="I87" s="129">
        <v>0.62836727802710801</v>
      </c>
      <c r="J87" s="47">
        <v>12.445672165506499</v>
      </c>
      <c r="K87" s="34" t="str">
        <f t="shared" si="1"/>
        <v>Hortic|700to900</v>
      </c>
      <c r="L87" s="44"/>
      <c r="M87" s="129"/>
      <c r="N87" s="47"/>
      <c r="O87" s="47"/>
      <c r="P87" s="122"/>
    </row>
    <row r="88" spans="2:16" x14ac:dyDescent="0.35">
      <c r="B88" s="132"/>
      <c r="C88" s="183" t="s">
        <v>178</v>
      </c>
      <c r="D88" s="183" t="s">
        <v>180</v>
      </c>
      <c r="E88" s="183" t="b">
        <v>0</v>
      </c>
      <c r="F88" s="183" t="s">
        <v>170</v>
      </c>
      <c r="G88" s="183" t="s">
        <v>168</v>
      </c>
      <c r="H88" s="50" t="str">
        <f t="shared" si="2"/>
        <v>Hortic|FALSE|900to1200|FreeDrain</v>
      </c>
      <c r="I88" s="129">
        <v>0.19198815234429714</v>
      </c>
      <c r="J88" s="47">
        <v>21.762284643341346</v>
      </c>
      <c r="K88" s="34" t="str">
        <f t="shared" ref="K88:K89" si="3">D88&amp;"|"&amp;F88&amp;""</f>
        <v>Hortic|900to1200</v>
      </c>
      <c r="L88" s="44"/>
      <c r="M88" s="129"/>
      <c r="N88" s="47"/>
      <c r="O88" s="47"/>
      <c r="P88" s="122"/>
    </row>
    <row r="89" spans="2:16" x14ac:dyDescent="0.35">
      <c r="B89" s="132"/>
      <c r="C89" s="183" t="s">
        <v>178</v>
      </c>
      <c r="D89" s="183" t="s">
        <v>180</v>
      </c>
      <c r="E89" s="183" t="b">
        <v>0</v>
      </c>
      <c r="F89" s="183" t="s">
        <v>170</v>
      </c>
      <c r="G89" s="183" t="s">
        <v>169</v>
      </c>
      <c r="H89" s="50" t="str">
        <f t="shared" si="2"/>
        <v>Hortic|FALSE|900to1200|DrainedAr</v>
      </c>
      <c r="I89" s="129">
        <v>0.81659699312836653</v>
      </c>
      <c r="J89" s="47">
        <v>18.644783087671598</v>
      </c>
      <c r="K89" s="34" t="str">
        <f t="shared" si="3"/>
        <v>Hortic|900to1200</v>
      </c>
      <c r="L89" s="44"/>
      <c r="M89" s="129"/>
      <c r="N89" s="47"/>
      <c r="O89" s="47"/>
      <c r="P89" s="122"/>
    </row>
    <row r="90" spans="2:16" x14ac:dyDescent="0.35">
      <c r="B90" s="132"/>
      <c r="C90" s="183" t="s">
        <v>178</v>
      </c>
      <c r="D90" s="183" t="s">
        <v>181</v>
      </c>
      <c r="E90" s="183" t="b">
        <v>0</v>
      </c>
      <c r="F90" s="183" t="s">
        <v>179</v>
      </c>
      <c r="G90" s="183" t="s">
        <v>169</v>
      </c>
      <c r="H90" s="50" t="str">
        <f t="shared" si="2"/>
        <v>Pig|FALSE|600to700|DrainedAr</v>
      </c>
      <c r="I90" s="129">
        <v>0.27372062975996386</v>
      </c>
      <c r="J90" s="47">
        <v>36.090550604300788</v>
      </c>
      <c r="K90" s="34" t="str">
        <f>D90&amp;"|"&amp;F90&amp;""</f>
        <v>Pig|600to700</v>
      </c>
      <c r="L90" s="44"/>
      <c r="M90" s="129"/>
      <c r="N90" s="47"/>
      <c r="O90" s="47"/>
      <c r="P90" s="122"/>
    </row>
    <row r="91" spans="2:16" x14ac:dyDescent="0.35">
      <c r="B91" s="132"/>
      <c r="C91" s="183" t="s">
        <v>178</v>
      </c>
      <c r="D91" s="183" t="s">
        <v>181</v>
      </c>
      <c r="E91" s="183" t="b">
        <v>0</v>
      </c>
      <c r="F91" s="183" t="s">
        <v>167</v>
      </c>
      <c r="G91" s="183" t="s">
        <v>168</v>
      </c>
      <c r="H91" s="50" t="str">
        <f t="shared" si="2"/>
        <v>Pig|FALSE|700to900|FreeDrain</v>
      </c>
      <c r="I91" s="129">
        <v>0.16187917070929983</v>
      </c>
      <c r="J91" s="47">
        <v>64.098561431309761</v>
      </c>
      <c r="K91" s="34" t="str">
        <f t="shared" ref="K91:K111" si="4">D91&amp;"|"&amp;F91&amp;""</f>
        <v>Pig|700to900</v>
      </c>
      <c r="L91" s="44"/>
      <c r="M91" s="129"/>
      <c r="N91" s="47"/>
      <c r="O91" s="47"/>
      <c r="P91" s="122"/>
    </row>
    <row r="92" spans="2:16" x14ac:dyDescent="0.35">
      <c r="B92" s="132"/>
      <c r="C92" s="183" t="s">
        <v>178</v>
      </c>
      <c r="D92" s="183" t="s">
        <v>181</v>
      </c>
      <c r="E92" s="183" t="b">
        <v>0</v>
      </c>
      <c r="F92" s="183" t="s">
        <v>167</v>
      </c>
      <c r="G92" s="183" t="s">
        <v>169</v>
      </c>
      <c r="H92" s="50" t="str">
        <f t="shared" si="2"/>
        <v>Pig|FALSE|700to900|DrainedAr</v>
      </c>
      <c r="I92" s="129">
        <v>0.56689705779972255</v>
      </c>
      <c r="J92" s="47">
        <v>45.401358014692875</v>
      </c>
      <c r="K92" s="34" t="str">
        <f t="shared" si="4"/>
        <v>Pig|700to900</v>
      </c>
      <c r="L92" s="44"/>
      <c r="M92" s="129"/>
      <c r="N92" s="47"/>
      <c r="O92" s="47"/>
      <c r="P92" s="122"/>
    </row>
    <row r="93" spans="2:16" x14ac:dyDescent="0.35">
      <c r="B93" s="132"/>
      <c r="C93" s="183" t="s">
        <v>178</v>
      </c>
      <c r="D93" s="183" t="s">
        <v>181</v>
      </c>
      <c r="E93" s="183" t="b">
        <v>1</v>
      </c>
      <c r="F93" s="183" t="s">
        <v>167</v>
      </c>
      <c r="G93" s="183" t="s">
        <v>169</v>
      </c>
      <c r="H93" s="50" t="str">
        <f t="shared" si="2"/>
        <v>Pig|TRUE|700to900|DrainedAr</v>
      </c>
      <c r="I93" s="129">
        <v>0.55276558900535</v>
      </c>
      <c r="J93" s="47">
        <v>44.004562652021932</v>
      </c>
      <c r="K93" s="34" t="str">
        <f t="shared" si="4"/>
        <v>Pig|700to900</v>
      </c>
      <c r="L93" s="44"/>
      <c r="M93" s="129"/>
      <c r="N93" s="47"/>
      <c r="O93" s="47"/>
      <c r="P93" s="122"/>
    </row>
    <row r="94" spans="2:16" x14ac:dyDescent="0.35">
      <c r="B94" s="132"/>
      <c r="C94" s="183" t="s">
        <v>178</v>
      </c>
      <c r="D94" s="183" t="s">
        <v>181</v>
      </c>
      <c r="E94" s="183" t="b">
        <v>0</v>
      </c>
      <c r="F94" s="183" t="s">
        <v>167</v>
      </c>
      <c r="G94" s="183" t="s">
        <v>173</v>
      </c>
      <c r="H94" s="50" t="str">
        <f t="shared" si="2"/>
        <v>Pig|FALSE|700to900|DrainedArGr</v>
      </c>
      <c r="I94" s="129">
        <v>0.94252598525733788</v>
      </c>
      <c r="J94" s="47">
        <v>37.942067073850041</v>
      </c>
      <c r="K94" s="34" t="str">
        <f t="shared" si="4"/>
        <v>Pig|700to900</v>
      </c>
      <c r="L94" s="44"/>
      <c r="M94" s="129"/>
      <c r="N94" s="47"/>
      <c r="O94" s="47"/>
      <c r="P94" s="122"/>
    </row>
    <row r="95" spans="2:16" x14ac:dyDescent="0.35">
      <c r="B95" s="132"/>
      <c r="C95" s="183" t="s">
        <v>178</v>
      </c>
      <c r="D95" s="183" t="s">
        <v>181</v>
      </c>
      <c r="E95" s="183" t="b">
        <v>0</v>
      </c>
      <c r="F95" s="183" t="s">
        <v>170</v>
      </c>
      <c r="G95" s="183" t="s">
        <v>168</v>
      </c>
      <c r="H95" s="50" t="str">
        <f t="shared" si="2"/>
        <v>Pig|FALSE|900to1200|FreeDrain</v>
      </c>
      <c r="I95" s="129">
        <v>0.27127493500361866</v>
      </c>
      <c r="J95" s="47">
        <v>67.550889348315422</v>
      </c>
      <c r="K95" s="34" t="str">
        <f t="shared" si="4"/>
        <v>Pig|900to1200</v>
      </c>
      <c r="L95" s="44"/>
      <c r="M95" s="129"/>
      <c r="N95" s="47"/>
      <c r="O95" s="47"/>
      <c r="P95" s="122"/>
    </row>
    <row r="96" spans="2:16" x14ac:dyDescent="0.35">
      <c r="B96" s="132"/>
      <c r="C96" s="183" t="s">
        <v>178</v>
      </c>
      <c r="D96" s="183" t="s">
        <v>172</v>
      </c>
      <c r="E96" s="183" t="b">
        <v>0</v>
      </c>
      <c r="F96" s="183" t="s">
        <v>167</v>
      </c>
      <c r="G96" s="183" t="s">
        <v>168</v>
      </c>
      <c r="H96" s="50" t="str">
        <f t="shared" si="2"/>
        <v>Poultry|FALSE|700to900|FreeDrain</v>
      </c>
      <c r="I96" s="129">
        <v>0.30796174836814549</v>
      </c>
      <c r="J96" s="47">
        <v>249.49877167478729</v>
      </c>
      <c r="K96" s="34" t="str">
        <f t="shared" si="4"/>
        <v>Poultry|700to900</v>
      </c>
      <c r="L96" s="44"/>
      <c r="M96" s="129"/>
      <c r="N96" s="47"/>
      <c r="O96" s="47"/>
      <c r="P96" s="122"/>
    </row>
    <row r="97" spans="2:16" x14ac:dyDescent="0.35">
      <c r="B97" s="132"/>
      <c r="C97" s="183" t="s">
        <v>178</v>
      </c>
      <c r="D97" s="183" t="s">
        <v>172</v>
      </c>
      <c r="E97" s="183" t="b">
        <v>1</v>
      </c>
      <c r="F97" s="183" t="s">
        <v>167</v>
      </c>
      <c r="G97" s="183" t="s">
        <v>168</v>
      </c>
      <c r="H97" s="50" t="str">
        <f t="shared" si="2"/>
        <v>Poultry|TRUE|700to900|FreeDrain</v>
      </c>
      <c r="I97" s="129">
        <v>0.29911057213666803</v>
      </c>
      <c r="J97" s="47">
        <v>250.68574470632902</v>
      </c>
      <c r="K97" s="34" t="str">
        <f t="shared" si="4"/>
        <v>Poultry|700to900</v>
      </c>
      <c r="L97" s="44"/>
      <c r="M97" s="129"/>
      <c r="N97" s="47"/>
      <c r="O97" s="47"/>
      <c r="P97" s="122"/>
    </row>
    <row r="98" spans="2:16" x14ac:dyDescent="0.35">
      <c r="B98" s="132"/>
      <c r="C98" s="183" t="s">
        <v>178</v>
      </c>
      <c r="D98" s="183" t="s">
        <v>172</v>
      </c>
      <c r="E98" s="183" t="b">
        <v>0</v>
      </c>
      <c r="F98" s="183" t="s">
        <v>167</v>
      </c>
      <c r="G98" s="183" t="s">
        <v>169</v>
      </c>
      <c r="H98" s="50" t="str">
        <f t="shared" si="2"/>
        <v>Poultry|FALSE|700to900|DrainedAr</v>
      </c>
      <c r="I98" s="129">
        <v>0.66923262928158589</v>
      </c>
      <c r="J98" s="47">
        <v>170.80026480000473</v>
      </c>
      <c r="K98" s="34" t="str">
        <f t="shared" si="4"/>
        <v>Poultry|700to900</v>
      </c>
      <c r="L98" s="44"/>
      <c r="M98" s="129"/>
      <c r="N98" s="47"/>
      <c r="O98" s="47"/>
      <c r="P98" s="122"/>
    </row>
    <row r="99" spans="2:16" x14ac:dyDescent="0.35">
      <c r="B99" s="132"/>
      <c r="C99" s="183" t="s">
        <v>178</v>
      </c>
      <c r="D99" s="183" t="s">
        <v>172</v>
      </c>
      <c r="E99" s="183" t="b">
        <v>1</v>
      </c>
      <c r="F99" s="183" t="s">
        <v>167</v>
      </c>
      <c r="G99" s="183" t="s">
        <v>169</v>
      </c>
      <c r="H99" s="50" t="str">
        <f t="shared" si="2"/>
        <v>Poultry|TRUE|700to900|DrainedAr</v>
      </c>
      <c r="I99" s="129">
        <v>0.62802547674768117</v>
      </c>
      <c r="J99" s="47">
        <v>163.88338334222669</v>
      </c>
      <c r="K99" s="34" t="str">
        <f t="shared" si="4"/>
        <v>Poultry|700to900</v>
      </c>
      <c r="L99" s="44"/>
      <c r="M99" s="129"/>
      <c r="N99" s="47"/>
      <c r="O99" s="47"/>
      <c r="P99" s="122"/>
    </row>
    <row r="100" spans="2:16" x14ac:dyDescent="0.35">
      <c r="B100" s="132"/>
      <c r="C100" s="183" t="s">
        <v>178</v>
      </c>
      <c r="D100" s="183" t="s">
        <v>172</v>
      </c>
      <c r="E100" s="183" t="b">
        <v>0</v>
      </c>
      <c r="F100" s="183" t="s">
        <v>167</v>
      </c>
      <c r="G100" s="183" t="s">
        <v>173</v>
      </c>
      <c r="H100" s="50" t="str">
        <f t="shared" si="2"/>
        <v>Poultry|FALSE|700to900|DrainedArGr</v>
      </c>
      <c r="I100" s="129">
        <v>1.1674827399066172</v>
      </c>
      <c r="J100" s="47">
        <v>138.29614173225835</v>
      </c>
      <c r="K100" s="34" t="str">
        <f t="shared" si="4"/>
        <v>Poultry|700to900</v>
      </c>
      <c r="L100" s="44"/>
      <c r="M100" s="129"/>
      <c r="N100" s="47"/>
      <c r="O100" s="47"/>
      <c r="P100" s="122"/>
    </row>
    <row r="101" spans="2:16" x14ac:dyDescent="0.35">
      <c r="B101" s="132"/>
      <c r="C101" s="183" t="s">
        <v>178</v>
      </c>
      <c r="D101" s="183" t="s">
        <v>172</v>
      </c>
      <c r="E101" s="183" t="b">
        <v>1</v>
      </c>
      <c r="F101" s="183" t="s">
        <v>167</v>
      </c>
      <c r="G101" s="183" t="s">
        <v>173</v>
      </c>
      <c r="H101" s="50" t="str">
        <f t="shared" si="2"/>
        <v>Poultry|TRUE|700to900|DrainedArGr</v>
      </c>
      <c r="I101" s="129">
        <v>1.1114867887372941</v>
      </c>
      <c r="J101" s="47">
        <v>127.99500134888207</v>
      </c>
      <c r="K101" s="34" t="str">
        <f t="shared" si="4"/>
        <v>Poultry|700to900</v>
      </c>
      <c r="L101" s="44"/>
      <c r="M101" s="129"/>
      <c r="N101" s="47"/>
      <c r="O101" s="47"/>
      <c r="P101" s="122"/>
    </row>
    <row r="102" spans="2:16" x14ac:dyDescent="0.35">
      <c r="B102" s="132"/>
      <c r="C102" s="183" t="s">
        <v>178</v>
      </c>
      <c r="D102" s="183" t="s">
        <v>172</v>
      </c>
      <c r="E102" s="183" t="b">
        <v>0</v>
      </c>
      <c r="F102" s="183" t="s">
        <v>170</v>
      </c>
      <c r="G102" s="183" t="s">
        <v>168</v>
      </c>
      <c r="H102" s="50" t="str">
        <f t="shared" si="2"/>
        <v>Poultry|FALSE|900to1200|FreeDrain</v>
      </c>
      <c r="I102" s="129">
        <v>0.4583353368841428</v>
      </c>
      <c r="J102" s="47">
        <v>261.30082270721772</v>
      </c>
      <c r="K102" s="34" t="str">
        <f t="shared" si="4"/>
        <v>Poultry|900to1200</v>
      </c>
      <c r="L102" s="44"/>
      <c r="M102" s="129"/>
      <c r="N102" s="47"/>
      <c r="O102" s="47"/>
      <c r="P102" s="122"/>
    </row>
    <row r="103" spans="2:16" x14ac:dyDescent="0.35">
      <c r="B103" s="132"/>
      <c r="C103" s="183" t="s">
        <v>178</v>
      </c>
      <c r="D103" s="183" t="s">
        <v>172</v>
      </c>
      <c r="E103" s="183" t="b">
        <v>0</v>
      </c>
      <c r="F103" s="183" t="s">
        <v>170</v>
      </c>
      <c r="G103" s="183" t="s">
        <v>169</v>
      </c>
      <c r="H103" s="50" t="str">
        <f t="shared" si="2"/>
        <v>Poultry|FALSE|900to1200|DrainedAr</v>
      </c>
      <c r="I103" s="129">
        <v>1.1507335174142539</v>
      </c>
      <c r="J103" s="47">
        <v>202.994003029792</v>
      </c>
      <c r="K103" s="34" t="str">
        <f t="shared" si="4"/>
        <v>Poultry|900to1200</v>
      </c>
      <c r="L103" s="44"/>
      <c r="M103" s="129"/>
      <c r="N103" s="47"/>
      <c r="O103" s="47"/>
      <c r="P103" s="122"/>
    </row>
    <row r="104" spans="2:16" x14ac:dyDescent="0.35">
      <c r="B104" s="132"/>
      <c r="C104" s="183" t="s">
        <v>178</v>
      </c>
      <c r="D104" s="183" t="s">
        <v>174</v>
      </c>
      <c r="E104" s="183" t="b">
        <v>1</v>
      </c>
      <c r="F104" s="183" t="s">
        <v>179</v>
      </c>
      <c r="G104" s="183" t="s">
        <v>169</v>
      </c>
      <c r="H104" s="50" t="str">
        <f t="shared" si="2"/>
        <v>Dairy|TRUE|600to700|DrainedAr</v>
      </c>
      <c r="I104" s="129">
        <v>0.20745345730972517</v>
      </c>
      <c r="J104" s="47">
        <v>21.585774364091112</v>
      </c>
      <c r="K104" s="34" t="str">
        <f t="shared" si="4"/>
        <v>Dairy|600to700</v>
      </c>
      <c r="L104" s="44"/>
      <c r="M104" s="129"/>
      <c r="N104" s="47"/>
      <c r="O104" s="47"/>
      <c r="P104" s="122"/>
    </row>
    <row r="105" spans="2:16" x14ac:dyDescent="0.35">
      <c r="B105" s="132"/>
      <c r="C105" s="183" t="s">
        <v>178</v>
      </c>
      <c r="D105" s="183" t="s">
        <v>174</v>
      </c>
      <c r="E105" s="183" t="b">
        <v>0</v>
      </c>
      <c r="F105" s="183" t="s">
        <v>167</v>
      </c>
      <c r="G105" s="183" t="s">
        <v>168</v>
      </c>
      <c r="H105" s="50" t="str">
        <f t="shared" si="2"/>
        <v>Dairy|FALSE|700to900|FreeDrain</v>
      </c>
      <c r="I105" s="129">
        <v>0.20089527006219199</v>
      </c>
      <c r="J105" s="47">
        <v>45.291187233553117</v>
      </c>
      <c r="K105" s="34" t="str">
        <f t="shared" si="4"/>
        <v>Dairy|700to900</v>
      </c>
      <c r="L105" s="44"/>
      <c r="M105" s="129"/>
      <c r="N105" s="47"/>
      <c r="O105" s="47"/>
      <c r="P105" s="122"/>
    </row>
    <row r="106" spans="2:16" x14ac:dyDescent="0.35">
      <c r="B106" s="132"/>
      <c r="C106" s="183" t="s">
        <v>178</v>
      </c>
      <c r="D106" s="183" t="s">
        <v>174</v>
      </c>
      <c r="E106" s="183" t="b">
        <v>0</v>
      </c>
      <c r="F106" s="183" t="s">
        <v>167</v>
      </c>
      <c r="G106" s="183" t="s">
        <v>169</v>
      </c>
      <c r="H106" s="50" t="str">
        <f t="shared" si="2"/>
        <v>Dairy|FALSE|700to900|DrainedAr</v>
      </c>
      <c r="I106" s="129">
        <v>0.35663210980885612</v>
      </c>
      <c r="J106" s="47">
        <v>35.003591419911338</v>
      </c>
      <c r="K106" s="34" t="str">
        <f t="shared" si="4"/>
        <v>Dairy|700to900</v>
      </c>
      <c r="L106" s="44"/>
      <c r="M106" s="129"/>
      <c r="N106" s="47"/>
      <c r="O106" s="47"/>
      <c r="P106" s="122"/>
    </row>
    <row r="107" spans="2:16" x14ac:dyDescent="0.35">
      <c r="B107" s="132"/>
      <c r="C107" s="183" t="s">
        <v>178</v>
      </c>
      <c r="D107" s="183" t="s">
        <v>174</v>
      </c>
      <c r="E107" s="183" t="b">
        <v>1</v>
      </c>
      <c r="F107" s="183" t="s">
        <v>167</v>
      </c>
      <c r="G107" s="183" t="s">
        <v>169</v>
      </c>
      <c r="H107" s="50" t="str">
        <f t="shared" si="2"/>
        <v>Dairy|TRUE|700to900|DrainedAr</v>
      </c>
      <c r="I107" s="129">
        <v>0.35409580312340683</v>
      </c>
      <c r="J107" s="47">
        <v>34.637767158457699</v>
      </c>
      <c r="K107" s="34" t="str">
        <f t="shared" si="4"/>
        <v>Dairy|700to900</v>
      </c>
      <c r="L107" s="44"/>
      <c r="M107" s="129"/>
      <c r="N107" s="47"/>
      <c r="O107" s="47"/>
      <c r="P107" s="122"/>
    </row>
    <row r="108" spans="2:16" x14ac:dyDescent="0.35">
      <c r="B108" s="132"/>
      <c r="C108" s="183" t="s">
        <v>178</v>
      </c>
      <c r="D108" s="183" t="s">
        <v>174</v>
      </c>
      <c r="E108" s="183" t="b">
        <v>0</v>
      </c>
      <c r="F108" s="183" t="s">
        <v>167</v>
      </c>
      <c r="G108" s="183" t="s">
        <v>173</v>
      </c>
      <c r="H108" s="50" t="str">
        <f t="shared" si="2"/>
        <v>Dairy|FALSE|700to900|DrainedArGr</v>
      </c>
      <c r="I108" s="129">
        <v>1.2534285147150075</v>
      </c>
      <c r="J108" s="47">
        <v>20.554705825032229</v>
      </c>
      <c r="K108" s="34" t="str">
        <f t="shared" si="4"/>
        <v>Dairy|700to900</v>
      </c>
      <c r="L108" s="44"/>
      <c r="M108" s="129"/>
      <c r="N108" s="47"/>
      <c r="O108" s="47"/>
      <c r="P108" s="122"/>
    </row>
    <row r="109" spans="2:16" x14ac:dyDescent="0.35">
      <c r="B109" s="132"/>
      <c r="C109" s="183" t="s">
        <v>178</v>
      </c>
      <c r="D109" s="183" t="s">
        <v>174</v>
      </c>
      <c r="E109" s="183" t="b">
        <v>0</v>
      </c>
      <c r="F109" s="183" t="s">
        <v>170</v>
      </c>
      <c r="G109" s="183" t="s">
        <v>168</v>
      </c>
      <c r="H109" s="50" t="str">
        <f t="shared" si="2"/>
        <v>Dairy|FALSE|900to1200|FreeDrain</v>
      </c>
      <c r="I109" s="129">
        <v>0.28740658558320087</v>
      </c>
      <c r="J109" s="47">
        <v>47.861462609731376</v>
      </c>
      <c r="K109" s="34" t="str">
        <f t="shared" si="4"/>
        <v>Dairy|900to1200</v>
      </c>
      <c r="L109" s="44"/>
      <c r="M109" s="129"/>
      <c r="N109" s="47"/>
      <c r="O109" s="47"/>
      <c r="P109" s="122"/>
    </row>
    <row r="110" spans="2:16" x14ac:dyDescent="0.35">
      <c r="B110" s="132"/>
      <c r="C110" s="183" t="s">
        <v>178</v>
      </c>
      <c r="D110" s="183" t="s">
        <v>174</v>
      </c>
      <c r="E110" s="183" t="b">
        <v>0</v>
      </c>
      <c r="F110" s="183" t="s">
        <v>170</v>
      </c>
      <c r="G110" s="183" t="s">
        <v>169</v>
      </c>
      <c r="H110" s="50" t="str">
        <f t="shared" si="2"/>
        <v>Dairy|FALSE|900to1200|DrainedAr</v>
      </c>
      <c r="I110" s="129">
        <v>0.59402225778297768</v>
      </c>
      <c r="J110" s="47">
        <v>44.246109599494844</v>
      </c>
      <c r="K110" s="34" t="str">
        <f t="shared" si="4"/>
        <v>Dairy|900to1200</v>
      </c>
      <c r="L110" s="44"/>
      <c r="M110" s="129"/>
      <c r="N110" s="47"/>
      <c r="O110" s="47"/>
      <c r="P110" s="122"/>
    </row>
    <row r="111" spans="2:16" x14ac:dyDescent="0.35">
      <c r="B111" s="132"/>
      <c r="C111" s="183" t="s">
        <v>178</v>
      </c>
      <c r="D111" s="183" t="s">
        <v>175</v>
      </c>
      <c r="E111" s="183" t="b">
        <v>0</v>
      </c>
      <c r="F111" s="183" t="s">
        <v>167</v>
      </c>
      <c r="G111" s="183" t="s">
        <v>168</v>
      </c>
      <c r="H111" s="50" t="str">
        <f t="shared" si="2"/>
        <v>LFA|FALSE|700to900|FreeDrain</v>
      </c>
      <c r="I111" s="129">
        <v>9.9790267424752971E-2</v>
      </c>
      <c r="J111" s="47">
        <v>13.249224768742637</v>
      </c>
      <c r="K111" s="34" t="str">
        <f t="shared" si="4"/>
        <v>LFA|700to900</v>
      </c>
      <c r="L111" s="44"/>
      <c r="M111" s="129"/>
      <c r="N111" s="47"/>
      <c r="O111" s="47"/>
      <c r="P111" s="122"/>
    </row>
    <row r="112" spans="2:16" x14ac:dyDescent="0.35">
      <c r="B112" s="132"/>
      <c r="C112" s="183" t="s">
        <v>178</v>
      </c>
      <c r="D112" s="183" t="s">
        <v>175</v>
      </c>
      <c r="E112" s="183" t="b">
        <v>0</v>
      </c>
      <c r="F112" s="183" t="s">
        <v>167</v>
      </c>
      <c r="G112" s="183" t="s">
        <v>169</v>
      </c>
      <c r="H112" s="50" t="str">
        <f t="shared" si="2"/>
        <v>LFA|FALSE|700to900|DrainedAr</v>
      </c>
      <c r="I112" s="129">
        <v>0.1119037173865803</v>
      </c>
      <c r="J112" s="47">
        <v>10.422256648593812</v>
      </c>
      <c r="K112" s="34" t="str">
        <f>D112&amp;"|"&amp;F112&amp;""</f>
        <v>LFA|700to900</v>
      </c>
      <c r="L112" s="44"/>
      <c r="M112" s="129"/>
      <c r="N112" s="47"/>
      <c r="O112" s="47"/>
      <c r="P112" s="122"/>
    </row>
    <row r="113" spans="2:16" x14ac:dyDescent="0.35">
      <c r="B113" s="132"/>
      <c r="C113" s="183" t="s">
        <v>178</v>
      </c>
      <c r="D113" s="183" t="s">
        <v>175</v>
      </c>
      <c r="E113" s="183" t="b">
        <v>0</v>
      </c>
      <c r="F113" s="183" t="s">
        <v>167</v>
      </c>
      <c r="G113" s="183" t="s">
        <v>173</v>
      </c>
      <c r="H113" s="50" t="str">
        <f t="shared" si="2"/>
        <v>LFA|FALSE|700to900|DrainedArGr</v>
      </c>
      <c r="I113" s="129">
        <v>0.63761253009177221</v>
      </c>
      <c r="J113" s="47">
        <v>8.6893069399869507</v>
      </c>
      <c r="K113" s="34" t="str">
        <f t="shared" ref="K113:K129" si="5">D113&amp;"|"&amp;F113&amp;""</f>
        <v>LFA|700to900</v>
      </c>
      <c r="L113" s="44"/>
      <c r="M113" s="129"/>
      <c r="N113" s="47"/>
      <c r="O113" s="47"/>
      <c r="P113" s="122"/>
    </row>
    <row r="114" spans="2:16" x14ac:dyDescent="0.35">
      <c r="B114" s="132"/>
      <c r="C114" s="183" t="s">
        <v>178</v>
      </c>
      <c r="D114" s="183" t="s">
        <v>175</v>
      </c>
      <c r="E114" s="183" t="b">
        <v>1</v>
      </c>
      <c r="F114" s="183" t="s">
        <v>167</v>
      </c>
      <c r="G114" s="183" t="s">
        <v>173</v>
      </c>
      <c r="H114" s="50" t="str">
        <f t="shared" si="2"/>
        <v>LFA|TRUE|700to900|DrainedArGr</v>
      </c>
      <c r="I114" s="129">
        <v>0.63760195311235468</v>
      </c>
      <c r="J114" s="47">
        <v>8.6809411454821319</v>
      </c>
      <c r="K114" s="34" t="str">
        <f t="shared" si="5"/>
        <v>LFA|700to900</v>
      </c>
      <c r="L114" s="44"/>
      <c r="M114" s="129"/>
      <c r="N114" s="47"/>
      <c r="O114" s="47"/>
      <c r="P114" s="122"/>
    </row>
    <row r="115" spans="2:16" x14ac:dyDescent="0.35">
      <c r="B115" s="132"/>
      <c r="C115" s="183" t="s">
        <v>178</v>
      </c>
      <c r="D115" s="183" t="s">
        <v>175</v>
      </c>
      <c r="E115" s="183" t="b">
        <v>0</v>
      </c>
      <c r="F115" s="183" t="s">
        <v>170</v>
      </c>
      <c r="G115" s="183" t="s">
        <v>168</v>
      </c>
      <c r="H115" s="50" t="str">
        <f t="shared" si="2"/>
        <v>LFA|FALSE|900to1200|FreeDrain</v>
      </c>
      <c r="I115" s="129">
        <v>0.15656182674050542</v>
      </c>
      <c r="J115" s="47">
        <v>14.287274751031763</v>
      </c>
      <c r="K115" s="34" t="str">
        <f t="shared" si="5"/>
        <v>LFA|900to1200</v>
      </c>
      <c r="L115" s="44"/>
      <c r="M115" s="129"/>
      <c r="N115" s="47"/>
      <c r="O115" s="47"/>
      <c r="P115" s="122"/>
    </row>
    <row r="116" spans="2:16" x14ac:dyDescent="0.35">
      <c r="B116" s="132"/>
      <c r="C116" s="183" t="s">
        <v>178</v>
      </c>
      <c r="D116" s="183" t="s">
        <v>175</v>
      </c>
      <c r="E116" s="183" t="b">
        <v>0</v>
      </c>
      <c r="F116" s="183" t="s">
        <v>170</v>
      </c>
      <c r="G116" s="183" t="s">
        <v>169</v>
      </c>
      <c r="H116" s="50" t="str">
        <f t="shared" si="2"/>
        <v>LFA|FALSE|900to1200|DrainedAr</v>
      </c>
      <c r="I116" s="129">
        <v>0.18273371973251978</v>
      </c>
      <c r="J116" s="47">
        <v>13.571345259495326</v>
      </c>
      <c r="K116" s="34" t="str">
        <f t="shared" si="5"/>
        <v>LFA|900to1200</v>
      </c>
      <c r="L116" s="44"/>
      <c r="M116" s="129"/>
      <c r="N116" s="47"/>
      <c r="O116" s="47"/>
      <c r="P116" s="122"/>
    </row>
    <row r="117" spans="2:16" x14ac:dyDescent="0.35">
      <c r="B117" s="132"/>
      <c r="C117" s="183" t="s">
        <v>178</v>
      </c>
      <c r="D117" s="183" t="s">
        <v>175</v>
      </c>
      <c r="E117" s="183" t="b">
        <v>0</v>
      </c>
      <c r="F117" s="183" t="s">
        <v>170</v>
      </c>
      <c r="G117" s="183" t="s">
        <v>173</v>
      </c>
      <c r="H117" s="50" t="str">
        <f t="shared" si="2"/>
        <v>LFA|FALSE|900to1200|DrainedArGr</v>
      </c>
      <c r="I117" s="129">
        <v>1.0570749307426022</v>
      </c>
      <c r="J117" s="47">
        <v>11.598966736415306</v>
      </c>
      <c r="K117" s="34" t="str">
        <f t="shared" si="5"/>
        <v>LFA|900to1200</v>
      </c>
      <c r="L117" s="44"/>
      <c r="M117" s="129"/>
      <c r="N117" s="47"/>
      <c r="O117" s="47"/>
      <c r="P117" s="122"/>
    </row>
    <row r="118" spans="2:16" x14ac:dyDescent="0.35">
      <c r="B118" s="132"/>
      <c r="C118" s="183" t="s">
        <v>178</v>
      </c>
      <c r="D118" s="183" t="s">
        <v>176</v>
      </c>
      <c r="E118" s="183" t="b">
        <v>0</v>
      </c>
      <c r="F118" s="183" t="s">
        <v>179</v>
      </c>
      <c r="G118" s="183" t="s">
        <v>168</v>
      </c>
      <c r="H118" s="50" t="str">
        <f t="shared" si="2"/>
        <v>Lowland|FALSE|600to700|FreeDrain</v>
      </c>
      <c r="I118" s="129">
        <v>6.9452797303312483E-2</v>
      </c>
      <c r="J118" s="47">
        <v>12.531067382802753</v>
      </c>
      <c r="K118" s="34" t="str">
        <f t="shared" si="5"/>
        <v>Lowland|600to700</v>
      </c>
      <c r="L118" s="44"/>
      <c r="M118" s="129"/>
      <c r="N118" s="47"/>
      <c r="O118" s="47"/>
      <c r="P118" s="122"/>
    </row>
    <row r="119" spans="2:16" x14ac:dyDescent="0.35">
      <c r="B119" s="132"/>
      <c r="C119" s="183" t="s">
        <v>178</v>
      </c>
      <c r="D119" s="183" t="s">
        <v>176</v>
      </c>
      <c r="E119" s="183" t="b">
        <v>1</v>
      </c>
      <c r="F119" s="183" t="s">
        <v>179</v>
      </c>
      <c r="G119" s="183" t="s">
        <v>168</v>
      </c>
      <c r="H119" s="50" t="str">
        <f t="shared" ref="H119:H141" si="6">D119&amp;"|"&amp;E119&amp;"|"&amp;F119&amp;"|"&amp;G119</f>
        <v>Lowland|TRUE|600to700|FreeDrain</v>
      </c>
      <c r="I119" s="129">
        <v>6.9452679578320797E-2</v>
      </c>
      <c r="J119" s="47">
        <v>12.459585094076056</v>
      </c>
      <c r="K119" s="34" t="str">
        <f t="shared" si="5"/>
        <v>Lowland|600to700</v>
      </c>
      <c r="L119" s="44"/>
      <c r="M119" s="129"/>
      <c r="N119" s="47"/>
      <c r="O119" s="47"/>
      <c r="P119" s="122"/>
    </row>
    <row r="120" spans="2:16" x14ac:dyDescent="0.35">
      <c r="B120" s="132"/>
      <c r="C120" s="183" t="s">
        <v>178</v>
      </c>
      <c r="D120" s="183" t="s">
        <v>176</v>
      </c>
      <c r="E120" s="183" t="b">
        <v>0</v>
      </c>
      <c r="F120" s="183" t="s">
        <v>179</v>
      </c>
      <c r="G120" s="183" t="s">
        <v>169</v>
      </c>
      <c r="H120" s="50" t="str">
        <f t="shared" si="6"/>
        <v>Lowland|FALSE|600to700|DrainedAr</v>
      </c>
      <c r="I120" s="129">
        <v>0.10568587474680717</v>
      </c>
      <c r="J120" s="47">
        <v>8.4950872728033087</v>
      </c>
      <c r="K120" s="34" t="str">
        <f t="shared" si="5"/>
        <v>Lowland|600to700</v>
      </c>
      <c r="L120" s="44"/>
      <c r="M120" s="129"/>
      <c r="N120" s="47"/>
      <c r="O120" s="47"/>
      <c r="P120" s="122"/>
    </row>
    <row r="121" spans="2:16" x14ac:dyDescent="0.35">
      <c r="B121" s="132"/>
      <c r="C121" s="183" t="s">
        <v>178</v>
      </c>
      <c r="D121" s="183" t="s">
        <v>176</v>
      </c>
      <c r="E121" s="183" t="b">
        <v>1</v>
      </c>
      <c r="F121" s="183" t="s">
        <v>179</v>
      </c>
      <c r="G121" s="183" t="s">
        <v>169</v>
      </c>
      <c r="H121" s="50" t="str">
        <f t="shared" si="6"/>
        <v>Lowland|TRUE|600to700|DrainedAr</v>
      </c>
      <c r="I121" s="129">
        <v>0.1056856971911749</v>
      </c>
      <c r="J121" s="47">
        <v>8.4488287452786679</v>
      </c>
      <c r="K121" s="34" t="str">
        <f t="shared" si="5"/>
        <v>Lowland|600to700</v>
      </c>
      <c r="L121" s="44"/>
      <c r="M121" s="129"/>
      <c r="N121" s="47"/>
      <c r="O121" s="47"/>
      <c r="P121" s="122"/>
    </row>
    <row r="122" spans="2:16" x14ac:dyDescent="0.35">
      <c r="B122" s="132"/>
      <c r="C122" s="183" t="s">
        <v>178</v>
      </c>
      <c r="D122" s="183" t="s">
        <v>176</v>
      </c>
      <c r="E122" s="183" t="b">
        <v>1</v>
      </c>
      <c r="F122" s="183" t="s">
        <v>179</v>
      </c>
      <c r="G122" s="183" t="s">
        <v>173</v>
      </c>
      <c r="H122" s="50" t="str">
        <f t="shared" si="6"/>
        <v>Lowland|TRUE|600to700|DrainedArGr</v>
      </c>
      <c r="I122" s="129">
        <v>0.49152095075522145</v>
      </c>
      <c r="J122" s="47">
        <v>8.609096309648784</v>
      </c>
      <c r="K122" s="34" t="str">
        <f t="shared" si="5"/>
        <v>Lowland|600to700</v>
      </c>
      <c r="L122" s="44"/>
      <c r="M122" s="129"/>
      <c r="N122" s="47"/>
      <c r="O122" s="47"/>
      <c r="P122" s="122"/>
    </row>
    <row r="123" spans="2:16" x14ac:dyDescent="0.35">
      <c r="B123" s="132"/>
      <c r="C123" s="183" t="s">
        <v>178</v>
      </c>
      <c r="D123" s="183" t="s">
        <v>176</v>
      </c>
      <c r="E123" s="183" t="b">
        <v>0</v>
      </c>
      <c r="F123" s="183" t="s">
        <v>167</v>
      </c>
      <c r="G123" s="183" t="s">
        <v>168</v>
      </c>
      <c r="H123" s="50" t="str">
        <f t="shared" si="6"/>
        <v>Lowland|FALSE|700to900|FreeDrain</v>
      </c>
      <c r="I123" s="129">
        <v>0.12137791078110957</v>
      </c>
      <c r="J123" s="47">
        <v>17.805401688525986</v>
      </c>
      <c r="K123" s="34" t="str">
        <f t="shared" si="5"/>
        <v>Lowland|700to900</v>
      </c>
      <c r="L123" s="44"/>
      <c r="M123" s="129"/>
      <c r="N123" s="47"/>
      <c r="O123" s="47"/>
      <c r="P123" s="122"/>
    </row>
    <row r="124" spans="2:16" x14ac:dyDescent="0.35">
      <c r="B124" s="132"/>
      <c r="C124" s="183" t="s">
        <v>178</v>
      </c>
      <c r="D124" s="183" t="s">
        <v>176</v>
      </c>
      <c r="E124" s="183" t="b">
        <v>1</v>
      </c>
      <c r="F124" s="183" t="s">
        <v>167</v>
      </c>
      <c r="G124" s="183" t="s">
        <v>168</v>
      </c>
      <c r="H124" s="50" t="str">
        <f t="shared" si="6"/>
        <v>Lowland|TRUE|700to900|FreeDrain</v>
      </c>
      <c r="I124" s="129">
        <v>0.12137772333505911</v>
      </c>
      <c r="J124" s="47">
        <v>17.711399919347823</v>
      </c>
      <c r="K124" s="34" t="str">
        <f t="shared" si="5"/>
        <v>Lowland|700to900</v>
      </c>
      <c r="L124" s="44"/>
      <c r="M124" s="129"/>
      <c r="N124" s="47"/>
      <c r="O124" s="47"/>
      <c r="P124" s="122"/>
    </row>
    <row r="125" spans="2:16" x14ac:dyDescent="0.35">
      <c r="B125" s="132"/>
      <c r="C125" s="183" t="s">
        <v>178</v>
      </c>
      <c r="D125" s="183" t="s">
        <v>176</v>
      </c>
      <c r="E125" s="183" t="b">
        <v>0</v>
      </c>
      <c r="F125" s="183" t="s">
        <v>167</v>
      </c>
      <c r="G125" s="183" t="s">
        <v>169</v>
      </c>
      <c r="H125" s="50" t="str">
        <f t="shared" si="6"/>
        <v>Lowland|FALSE|700to900|DrainedAr</v>
      </c>
      <c r="I125" s="129">
        <v>0.18643500722245787</v>
      </c>
      <c r="J125" s="47">
        <v>13.837616791834749</v>
      </c>
      <c r="K125" s="34" t="str">
        <f t="shared" si="5"/>
        <v>Lowland|700to900</v>
      </c>
      <c r="L125" s="44"/>
      <c r="M125" s="129"/>
      <c r="N125" s="47"/>
      <c r="O125" s="47"/>
      <c r="P125" s="122"/>
    </row>
    <row r="126" spans="2:16" x14ac:dyDescent="0.35">
      <c r="B126" s="132"/>
      <c r="C126" s="183" t="s">
        <v>178</v>
      </c>
      <c r="D126" s="183" t="s">
        <v>176</v>
      </c>
      <c r="E126" s="183" t="b">
        <v>1</v>
      </c>
      <c r="F126" s="183" t="s">
        <v>167</v>
      </c>
      <c r="G126" s="183" t="s">
        <v>169</v>
      </c>
      <c r="H126" s="50" t="str">
        <f t="shared" si="6"/>
        <v>Lowland|TRUE|700to900|DrainedAr</v>
      </c>
      <c r="I126" s="129">
        <v>0.18643477466321601</v>
      </c>
      <c r="J126" s="47">
        <v>13.765603794526195</v>
      </c>
      <c r="K126" s="34" t="str">
        <f t="shared" si="5"/>
        <v>Lowland|700to900</v>
      </c>
      <c r="L126" s="44"/>
      <c r="M126" s="129"/>
      <c r="N126" s="47"/>
      <c r="O126" s="47"/>
      <c r="P126" s="122"/>
    </row>
    <row r="127" spans="2:16" x14ac:dyDescent="0.35">
      <c r="B127" s="132"/>
      <c r="C127" s="183" t="s">
        <v>178</v>
      </c>
      <c r="D127" s="183" t="s">
        <v>176</v>
      </c>
      <c r="E127" s="183" t="b">
        <v>0</v>
      </c>
      <c r="F127" s="183" t="s">
        <v>167</v>
      </c>
      <c r="G127" s="183" t="s">
        <v>173</v>
      </c>
      <c r="H127" s="50" t="str">
        <f t="shared" si="6"/>
        <v>Lowland|FALSE|700to900|DrainedArGr</v>
      </c>
      <c r="I127" s="129">
        <v>0.76324028285154444</v>
      </c>
      <c r="J127" s="47">
        <v>10.644641295916154</v>
      </c>
      <c r="K127" s="34" t="str">
        <f t="shared" si="5"/>
        <v>Lowland|700to900</v>
      </c>
      <c r="L127" s="44"/>
      <c r="M127" s="129"/>
      <c r="N127" s="47"/>
      <c r="O127" s="47"/>
      <c r="P127" s="122"/>
    </row>
    <row r="128" spans="2:16" x14ac:dyDescent="0.35">
      <c r="B128" s="132"/>
      <c r="C128" s="183" t="s">
        <v>178</v>
      </c>
      <c r="D128" s="183" t="s">
        <v>176</v>
      </c>
      <c r="E128" s="183" t="b">
        <v>1</v>
      </c>
      <c r="F128" s="183" t="s">
        <v>167</v>
      </c>
      <c r="G128" s="183" t="s">
        <v>173</v>
      </c>
      <c r="H128" s="50" t="str">
        <f t="shared" si="6"/>
        <v>Lowland|TRUE|700to900|DrainedArGr</v>
      </c>
      <c r="I128" s="129">
        <v>0.76321847207255178</v>
      </c>
      <c r="J128" s="47">
        <v>10.625761333513724</v>
      </c>
      <c r="K128" s="34" t="str">
        <f t="shared" si="5"/>
        <v>Lowland|700to900</v>
      </c>
      <c r="L128" s="44"/>
      <c r="M128" s="129"/>
      <c r="N128" s="47"/>
      <c r="O128" s="47"/>
      <c r="P128" s="122"/>
    </row>
    <row r="129" spans="2:16" x14ac:dyDescent="0.35">
      <c r="B129" s="132"/>
      <c r="C129" s="183" t="s">
        <v>178</v>
      </c>
      <c r="D129" s="183" t="s">
        <v>176</v>
      </c>
      <c r="E129" s="183" t="b">
        <v>0</v>
      </c>
      <c r="F129" s="183" t="s">
        <v>170</v>
      </c>
      <c r="G129" s="183" t="s">
        <v>168</v>
      </c>
      <c r="H129" s="50" t="str">
        <f t="shared" si="6"/>
        <v>Lowland|FALSE|900to1200|FreeDrain</v>
      </c>
      <c r="I129" s="129">
        <v>0.18795450210452941</v>
      </c>
      <c r="J129" s="47">
        <v>19.099071483636852</v>
      </c>
      <c r="K129" s="34" t="str">
        <f t="shared" si="5"/>
        <v>Lowland|900to1200</v>
      </c>
      <c r="L129" s="44"/>
      <c r="M129" s="129"/>
      <c r="N129" s="47"/>
      <c r="O129" s="47"/>
      <c r="P129" s="122"/>
    </row>
    <row r="130" spans="2:16" x14ac:dyDescent="0.35">
      <c r="B130" s="132"/>
      <c r="C130" s="183" t="s">
        <v>178</v>
      </c>
      <c r="D130" s="183" t="s">
        <v>176</v>
      </c>
      <c r="E130" s="183" t="b">
        <v>0</v>
      </c>
      <c r="F130" s="183" t="s">
        <v>170</v>
      </c>
      <c r="G130" s="183" t="s">
        <v>169</v>
      </c>
      <c r="H130" s="50" t="str">
        <f t="shared" si="6"/>
        <v>Lowland|FALSE|900to1200|DrainedAr</v>
      </c>
      <c r="I130" s="129">
        <v>0.31770779729766796</v>
      </c>
      <c r="J130" s="47">
        <v>17.865895858407136</v>
      </c>
      <c r="K130" s="34" t="str">
        <f>D130&amp;"|"&amp;F130&amp;""</f>
        <v>Lowland|900to1200</v>
      </c>
      <c r="L130" s="44"/>
      <c r="M130" s="129"/>
      <c r="N130" s="47"/>
      <c r="O130" s="47"/>
      <c r="P130" s="122"/>
    </row>
    <row r="131" spans="2:16" x14ac:dyDescent="0.35">
      <c r="B131" s="132"/>
      <c r="C131" s="183" t="s">
        <v>178</v>
      </c>
      <c r="D131" s="183" t="s">
        <v>176</v>
      </c>
      <c r="E131" s="183" t="b">
        <v>0</v>
      </c>
      <c r="F131" s="183" t="s">
        <v>170</v>
      </c>
      <c r="G131" s="183" t="s">
        <v>173</v>
      </c>
      <c r="H131" s="50" t="str">
        <f t="shared" si="6"/>
        <v>Lowland|FALSE|900to1200|DrainedArGr</v>
      </c>
      <c r="I131" s="129">
        <v>1.257336271898736</v>
      </c>
      <c r="J131" s="47">
        <v>14.13258387735759</v>
      </c>
      <c r="K131" s="34" t="str">
        <f t="shared" ref="K131:K141" si="7">D131&amp;"|"&amp;F131&amp;""</f>
        <v>Lowland|900to1200</v>
      </c>
      <c r="L131" s="44"/>
      <c r="M131" s="129"/>
      <c r="N131" s="47"/>
      <c r="O131" s="47"/>
      <c r="P131" s="122"/>
    </row>
    <row r="132" spans="2:16" x14ac:dyDescent="0.35">
      <c r="B132" s="132"/>
      <c r="C132" s="183" t="s">
        <v>178</v>
      </c>
      <c r="D132" s="183" t="s">
        <v>177</v>
      </c>
      <c r="E132" s="183" t="b">
        <v>0</v>
      </c>
      <c r="F132" s="183" t="s">
        <v>179</v>
      </c>
      <c r="G132" s="183" t="s">
        <v>168</v>
      </c>
      <c r="H132" s="50" t="str">
        <f t="shared" si="6"/>
        <v>Mixed|FALSE|600to700|FreeDrain</v>
      </c>
      <c r="I132" s="129">
        <v>7.0583958918856965E-2</v>
      </c>
      <c r="J132" s="47">
        <v>22.654216209685057</v>
      </c>
      <c r="K132" s="34" t="str">
        <f t="shared" si="7"/>
        <v>Mixed|600to700</v>
      </c>
      <c r="L132" s="44"/>
      <c r="M132" s="129"/>
      <c r="N132" s="47"/>
      <c r="O132" s="47"/>
      <c r="P132" s="122"/>
    </row>
    <row r="133" spans="2:16" x14ac:dyDescent="0.35">
      <c r="B133" s="132"/>
      <c r="C133" s="183" t="s">
        <v>178</v>
      </c>
      <c r="D133" s="183" t="s">
        <v>177</v>
      </c>
      <c r="E133" s="183" t="b">
        <v>0</v>
      </c>
      <c r="F133" s="183" t="s">
        <v>179</v>
      </c>
      <c r="G133" s="183" t="s">
        <v>169</v>
      </c>
      <c r="H133" s="50" t="str">
        <f t="shared" si="6"/>
        <v>Mixed|FALSE|600to700|DrainedAr</v>
      </c>
      <c r="I133" s="129">
        <v>0.22977267552540159</v>
      </c>
      <c r="J133" s="47">
        <v>16.054345768327767</v>
      </c>
      <c r="K133" s="34" t="str">
        <f t="shared" si="7"/>
        <v>Mixed|600to700</v>
      </c>
      <c r="L133" s="44"/>
      <c r="M133" s="129"/>
      <c r="N133" s="47"/>
      <c r="O133" s="47"/>
      <c r="P133" s="122"/>
    </row>
    <row r="134" spans="2:16" x14ac:dyDescent="0.35">
      <c r="B134" s="132"/>
      <c r="C134" s="183" t="s">
        <v>178</v>
      </c>
      <c r="D134" s="183" t="s">
        <v>177</v>
      </c>
      <c r="E134" s="183" t="b">
        <v>0</v>
      </c>
      <c r="F134" s="183" t="s">
        <v>167</v>
      </c>
      <c r="G134" s="183" t="s">
        <v>168</v>
      </c>
      <c r="H134" s="50" t="str">
        <f t="shared" si="6"/>
        <v>Mixed|FALSE|700to900|FreeDrain</v>
      </c>
      <c r="I134" s="129">
        <v>0.15666254102969829</v>
      </c>
      <c r="J134" s="47">
        <v>28.708096642522445</v>
      </c>
      <c r="K134" s="34" t="str">
        <f t="shared" si="7"/>
        <v>Mixed|700to900</v>
      </c>
      <c r="L134" s="44"/>
      <c r="M134" s="129"/>
      <c r="N134" s="47"/>
      <c r="O134" s="47"/>
      <c r="P134" s="122"/>
    </row>
    <row r="135" spans="2:16" x14ac:dyDescent="0.35">
      <c r="B135" s="132"/>
      <c r="C135" s="183" t="s">
        <v>178</v>
      </c>
      <c r="D135" s="183" t="s">
        <v>177</v>
      </c>
      <c r="E135" s="183" t="b">
        <v>1</v>
      </c>
      <c r="F135" s="183" t="s">
        <v>167</v>
      </c>
      <c r="G135" s="183" t="s">
        <v>168</v>
      </c>
      <c r="H135" s="50" t="str">
        <f t="shared" si="6"/>
        <v>Mixed|TRUE|700to900|FreeDrain</v>
      </c>
      <c r="I135" s="129">
        <v>0.15633872583000388</v>
      </c>
      <c r="J135" s="47">
        <v>28.570108556957059</v>
      </c>
      <c r="K135" s="34" t="str">
        <f t="shared" si="7"/>
        <v>Mixed|700to900</v>
      </c>
      <c r="L135" s="44"/>
      <c r="M135" s="129"/>
      <c r="N135" s="47"/>
      <c r="O135" s="47"/>
      <c r="P135" s="122"/>
    </row>
    <row r="136" spans="2:16" x14ac:dyDescent="0.35">
      <c r="B136" s="132"/>
      <c r="C136" s="183" t="s">
        <v>178</v>
      </c>
      <c r="D136" s="183" t="s">
        <v>177</v>
      </c>
      <c r="E136" s="183" t="b">
        <v>0</v>
      </c>
      <c r="F136" s="183" t="s">
        <v>167</v>
      </c>
      <c r="G136" s="183" t="s">
        <v>169</v>
      </c>
      <c r="H136" s="50" t="str">
        <f t="shared" si="6"/>
        <v>Mixed|FALSE|700to900|DrainedAr</v>
      </c>
      <c r="I136" s="129">
        <v>0.48333293159767088</v>
      </c>
      <c r="J136" s="47">
        <v>21.959321804851619</v>
      </c>
      <c r="K136" s="34" t="str">
        <f t="shared" si="7"/>
        <v>Mixed|700to900</v>
      </c>
      <c r="L136" s="44"/>
      <c r="M136" s="129"/>
      <c r="N136" s="47"/>
      <c r="O136" s="47"/>
      <c r="P136" s="122"/>
    </row>
    <row r="137" spans="2:16" x14ac:dyDescent="0.35">
      <c r="B137" s="132"/>
      <c r="C137" s="183" t="s">
        <v>178</v>
      </c>
      <c r="D137" s="183" t="s">
        <v>177</v>
      </c>
      <c r="E137" s="183" t="b">
        <v>1</v>
      </c>
      <c r="F137" s="183" t="s">
        <v>167</v>
      </c>
      <c r="G137" s="183" t="s">
        <v>169</v>
      </c>
      <c r="H137" s="50" t="str">
        <f t="shared" si="6"/>
        <v>Mixed|TRUE|700to900|DrainedAr</v>
      </c>
      <c r="I137" s="129">
        <v>0.48201326901408992</v>
      </c>
      <c r="J137" s="47">
        <v>21.72564866908483</v>
      </c>
      <c r="K137" s="34" t="str">
        <f t="shared" si="7"/>
        <v>Mixed|700to900</v>
      </c>
      <c r="L137" s="44"/>
      <c r="M137" s="129"/>
      <c r="N137" s="47"/>
      <c r="O137" s="47"/>
      <c r="P137" s="122"/>
    </row>
    <row r="138" spans="2:16" x14ac:dyDescent="0.35">
      <c r="B138" s="132"/>
      <c r="C138" s="183" t="s">
        <v>178</v>
      </c>
      <c r="D138" s="183" t="s">
        <v>177</v>
      </c>
      <c r="E138" s="183" t="b">
        <v>0</v>
      </c>
      <c r="F138" s="183" t="s">
        <v>167</v>
      </c>
      <c r="G138" s="183" t="s">
        <v>173</v>
      </c>
      <c r="H138" s="50" t="str">
        <f t="shared" si="6"/>
        <v>Mixed|FALSE|700to900|DrainedArGr</v>
      </c>
      <c r="I138" s="129">
        <v>0.94135444979203342</v>
      </c>
      <c r="J138" s="47">
        <v>18.513624699816251</v>
      </c>
      <c r="K138" s="34" t="str">
        <f t="shared" si="7"/>
        <v>Mixed|700to900</v>
      </c>
      <c r="L138" s="44"/>
      <c r="M138" s="129"/>
      <c r="N138" s="47"/>
      <c r="O138" s="47"/>
      <c r="P138" s="122"/>
    </row>
    <row r="139" spans="2:16" x14ac:dyDescent="0.35">
      <c r="B139" s="132"/>
      <c r="C139" s="183" t="s">
        <v>178</v>
      </c>
      <c r="D139" s="183" t="s">
        <v>177</v>
      </c>
      <c r="E139" s="183" t="b">
        <v>1</v>
      </c>
      <c r="F139" s="183" t="s">
        <v>167</v>
      </c>
      <c r="G139" s="183" t="s">
        <v>173</v>
      </c>
      <c r="H139" s="50" t="str">
        <f t="shared" si="6"/>
        <v>Mixed|TRUE|700to900|DrainedArGr</v>
      </c>
      <c r="I139" s="129">
        <v>0.93795523816606607</v>
      </c>
      <c r="J139" s="47">
        <v>18.259205743460541</v>
      </c>
      <c r="K139" s="34" t="str">
        <f t="shared" si="7"/>
        <v>Mixed|700to900</v>
      </c>
      <c r="L139" s="44"/>
      <c r="M139" s="129"/>
      <c r="N139" s="47"/>
      <c r="O139" s="129"/>
      <c r="P139" s="122"/>
    </row>
    <row r="140" spans="2:16" x14ac:dyDescent="0.35">
      <c r="B140" s="132"/>
      <c r="C140" s="183" t="s">
        <v>178</v>
      </c>
      <c r="D140" s="183" t="s">
        <v>177</v>
      </c>
      <c r="E140" s="183" t="b">
        <v>0</v>
      </c>
      <c r="F140" s="183" t="s">
        <v>170</v>
      </c>
      <c r="G140" s="183" t="s">
        <v>168</v>
      </c>
      <c r="H140" s="50" t="str">
        <f t="shared" si="6"/>
        <v>Mixed|FALSE|900to1200|FreeDrain</v>
      </c>
      <c r="I140" s="129">
        <v>0.25890263543972869</v>
      </c>
      <c r="J140" s="47">
        <v>30.496512144309126</v>
      </c>
      <c r="K140" s="34" t="str">
        <f t="shared" si="7"/>
        <v>Mixed|900to1200</v>
      </c>
      <c r="L140" s="44"/>
      <c r="M140" s="129"/>
      <c r="N140" s="47"/>
      <c r="O140" s="129"/>
      <c r="P140" s="122"/>
    </row>
    <row r="141" spans="2:16" x14ac:dyDescent="0.35">
      <c r="B141" s="132"/>
      <c r="C141" s="183" t="s">
        <v>178</v>
      </c>
      <c r="D141" s="183" t="s">
        <v>177</v>
      </c>
      <c r="E141" s="183" t="b">
        <v>0</v>
      </c>
      <c r="F141" s="183" t="s">
        <v>170</v>
      </c>
      <c r="G141" s="183" t="s">
        <v>169</v>
      </c>
      <c r="H141" s="50" t="str">
        <f t="shared" si="6"/>
        <v>Mixed|FALSE|900to1200|DrainedAr</v>
      </c>
      <c r="I141" s="129">
        <v>0.89529837931848388</v>
      </c>
      <c r="J141" s="47">
        <v>27.792922422111133</v>
      </c>
      <c r="K141" s="34" t="str">
        <f t="shared" si="7"/>
        <v>Mixed|900to1200</v>
      </c>
      <c r="L141" s="44"/>
      <c r="M141" s="129"/>
      <c r="N141" s="47"/>
      <c r="O141" s="129"/>
      <c r="P141" s="122"/>
    </row>
    <row r="142" spans="2:16" ht="16.5" x14ac:dyDescent="0.35">
      <c r="B142" s="132"/>
      <c r="C142" s="183" t="s">
        <v>182</v>
      </c>
      <c r="D142" s="183" t="s">
        <v>182</v>
      </c>
      <c r="E142" s="183" t="s">
        <v>182</v>
      </c>
      <c r="F142" s="183" t="s">
        <v>182</v>
      </c>
      <c r="G142" s="48" t="s">
        <v>183</v>
      </c>
      <c r="H142" s="49" t="str">
        <f>"|"&amp;"|"&amp;"|"&amp;G142</f>
        <v>|||Greenspace</v>
      </c>
      <c r="I142" s="194">
        <v>0.02</v>
      </c>
      <c r="J142" s="35">
        <v>3</v>
      </c>
      <c r="K142" s="27"/>
      <c r="L142" s="181"/>
      <c r="M142" s="181"/>
      <c r="N142" s="181"/>
      <c r="O142" s="181"/>
      <c r="P142" s="122"/>
    </row>
    <row r="143" spans="2:16" ht="16.5" x14ac:dyDescent="0.35">
      <c r="B143" s="132"/>
      <c r="C143" s="183" t="s">
        <v>182</v>
      </c>
      <c r="D143" s="183" t="s">
        <v>182</v>
      </c>
      <c r="E143" s="183" t="s">
        <v>182</v>
      </c>
      <c r="F143" s="183" t="s">
        <v>182</v>
      </c>
      <c r="G143" s="48" t="s">
        <v>184</v>
      </c>
      <c r="H143" s="49" t="str">
        <f>"|"&amp;"|"&amp;"|"&amp;G143</f>
        <v>|||Community food growing</v>
      </c>
      <c r="I143" s="184">
        <f>IFERROR(VLOOKUP((VLOOKUP('Stage 2'!$E$9,Lookups!$C$179:$D$179,2,FALSE)&amp;"|"&amp;"General"&amp;"|"&amp;"FALSE"&amp;"|"&amp;VLOOKUP('Stage 2'!$E$11,Lookups!$C$153:$E$175,3,FALSE)&amp;"|"&amp;"FreeDrain"),$H$23:$O$141,2,FALSE), IFERROR(VLOOKUP("General"&amp;"|"&amp;VLOOKUP('Stage 2'!$E$11,Lookups!$C$153:$E$175,3,FALSE),$K$23:$O$141,2,FALSE),VLOOKUP("General",D23:O141,11,FALSE)))</f>
        <v>0.39654364010451448</v>
      </c>
      <c r="J143" s="185">
        <f>IFERROR(VLOOKUP((VLOOKUP('Stage 2'!$E$9,Lookups!$C$179:$D$179,2,FALSE)&amp;"|"&amp;"General"&amp;"|"&amp;"FALSE"&amp;"|"&amp;VLOOKUP('Stage 2'!$E$11,Lookups!$C$153:$E$175,3,FALSE)&amp;"|"&amp;"FreeDrain"),$H$23:$O$141,3,FALSE), IFERROR(VLOOKUP("General"&amp;"|"&amp;VLOOKUP('Stage 2'!$E$11,Lookups!$C$153:$E$175,3,FALSE),$K$23:$O$141,3,FALSE),VLOOKUP("General",D23:O141,12,FALSE)))</f>
        <v>20.012546138569675</v>
      </c>
      <c r="K143" s="181"/>
      <c r="L143" s="181"/>
      <c r="M143" s="181"/>
      <c r="N143" s="181"/>
      <c r="O143" s="181"/>
      <c r="P143" s="122"/>
    </row>
    <row r="144" spans="2:16" ht="16.5" x14ac:dyDescent="0.35">
      <c r="B144" s="132"/>
      <c r="C144" s="183" t="s">
        <v>182</v>
      </c>
      <c r="D144" s="183" t="s">
        <v>182</v>
      </c>
      <c r="E144" s="183" t="s">
        <v>182</v>
      </c>
      <c r="F144" s="183" t="s">
        <v>182</v>
      </c>
      <c r="G144" s="48" t="s">
        <v>185</v>
      </c>
      <c r="H144" s="49" t="str">
        <f>"|"&amp;"|"&amp;"|"&amp;G144</f>
        <v>|||Woodland</v>
      </c>
      <c r="I144" s="51">
        <v>0.02</v>
      </c>
      <c r="J144" s="35">
        <v>3</v>
      </c>
      <c r="K144" s="27"/>
      <c r="L144" s="181"/>
      <c r="M144" s="181"/>
      <c r="N144" s="181"/>
      <c r="O144" s="181"/>
      <c r="P144" s="122"/>
    </row>
    <row r="145" spans="2:16" ht="16.5" x14ac:dyDescent="0.35">
      <c r="B145" s="132"/>
      <c r="C145" s="183" t="s">
        <v>182</v>
      </c>
      <c r="D145" s="183" t="s">
        <v>182</v>
      </c>
      <c r="E145" s="183" t="s">
        <v>182</v>
      </c>
      <c r="F145" s="183" t="s">
        <v>182</v>
      </c>
      <c r="G145" s="48" t="s">
        <v>186</v>
      </c>
      <c r="H145" s="49" t="str">
        <f>"|"&amp;"|"&amp;"|"&amp;G145</f>
        <v>|||Shrub</v>
      </c>
      <c r="I145" s="51">
        <v>0.02</v>
      </c>
      <c r="J145" s="35">
        <v>3</v>
      </c>
      <c r="K145" s="27"/>
      <c r="L145" s="181"/>
      <c r="M145" s="181"/>
      <c r="N145" s="181"/>
      <c r="O145" s="181"/>
      <c r="P145" s="122"/>
    </row>
    <row r="146" spans="2:16" ht="16.5" x14ac:dyDescent="0.35">
      <c r="B146" s="132"/>
      <c r="C146" s="183" t="s">
        <v>182</v>
      </c>
      <c r="D146" s="183" t="s">
        <v>182</v>
      </c>
      <c r="E146" s="183" t="s">
        <v>182</v>
      </c>
      <c r="F146" s="183" t="s">
        <v>182</v>
      </c>
      <c r="G146" s="48" t="s">
        <v>187</v>
      </c>
      <c r="H146" s="49" t="str">
        <f>"|"&amp;"|"&amp;"|"&amp;G146</f>
        <v>|||Water</v>
      </c>
      <c r="I146" s="51">
        <v>0</v>
      </c>
      <c r="J146" s="35">
        <v>0</v>
      </c>
      <c r="K146" s="27"/>
      <c r="L146" s="181"/>
      <c r="M146" s="181"/>
      <c r="N146" s="181"/>
      <c r="O146" s="181"/>
      <c r="P146" s="122"/>
    </row>
    <row r="147" spans="2:16" ht="16.5" x14ac:dyDescent="0.35">
      <c r="B147" s="132"/>
      <c r="C147" s="183" t="s">
        <v>182</v>
      </c>
      <c r="D147" s="183" t="s">
        <v>182</v>
      </c>
      <c r="E147" s="183" t="s">
        <v>182</v>
      </c>
      <c r="F147" s="183" t="s">
        <v>182</v>
      </c>
      <c r="G147" s="49" t="s">
        <v>188</v>
      </c>
      <c r="H147" s="49" t="str">
        <f t="shared" ref="H147:H149" si="8">"|"&amp;"|"&amp;"|"&amp;G147</f>
        <v>|||Residential urban land</v>
      </c>
      <c r="I147" s="186" t="e">
        <f>VLOOKUP('Stage 2'!E11,Lookups!C153:H175,6,FALSE)</f>
        <v>#N/A</v>
      </c>
      <c r="J147" s="35" t="e">
        <f>VLOOKUP('Stage 2'!E11,Lookups!C153:K175,9,FALSE)</f>
        <v>#N/A</v>
      </c>
      <c r="K147" s="27"/>
      <c r="L147" s="181"/>
      <c r="M147" s="181"/>
      <c r="N147" s="181"/>
      <c r="O147" s="181"/>
      <c r="P147" s="122"/>
    </row>
    <row r="148" spans="2:16" ht="16.5" x14ac:dyDescent="0.35">
      <c r="B148" s="132"/>
      <c r="C148" s="183" t="s">
        <v>182</v>
      </c>
      <c r="D148" s="183" t="s">
        <v>182</v>
      </c>
      <c r="E148" s="183" t="s">
        <v>182</v>
      </c>
      <c r="F148" s="183" t="s">
        <v>182</v>
      </c>
      <c r="G148" s="49" t="s">
        <v>189</v>
      </c>
      <c r="H148" s="49" t="str">
        <f t="shared" si="8"/>
        <v>|||Commercial/industrial urban land</v>
      </c>
      <c r="I148" s="186" t="e">
        <f>VLOOKUP('Stage 2'!E11,Lookups!C153:I175,7,FALSE)</f>
        <v>#N/A</v>
      </c>
      <c r="J148" s="35" t="e">
        <f>VLOOKUP('Stage 2'!E11,Lookups!C153:M175,10,FALSE)</f>
        <v>#N/A</v>
      </c>
      <c r="K148" s="27"/>
      <c r="L148" s="181"/>
      <c r="M148" s="181"/>
      <c r="N148" s="181"/>
      <c r="O148" s="181"/>
      <c r="P148" s="122"/>
    </row>
    <row r="149" spans="2:16" ht="16.5" x14ac:dyDescent="0.35">
      <c r="B149" s="132"/>
      <c r="C149" s="183" t="s">
        <v>182</v>
      </c>
      <c r="D149" s="183" t="s">
        <v>182</v>
      </c>
      <c r="E149" s="183" t="s">
        <v>182</v>
      </c>
      <c r="F149" s="183" t="s">
        <v>182</v>
      </c>
      <c r="G149" s="49" t="s">
        <v>190</v>
      </c>
      <c r="H149" s="49" t="str">
        <f t="shared" si="8"/>
        <v>|||Open urban land</v>
      </c>
      <c r="I149" s="186" t="e">
        <f>VLOOKUP('Stage 2'!E11,Lookups!C153:J175,8,FALSE)</f>
        <v>#N/A</v>
      </c>
      <c r="J149" s="35" t="e">
        <f>VLOOKUP('Stage 2'!E11,Lookups!C153:P175,11,FALSE)</f>
        <v>#N/A</v>
      </c>
      <c r="K149" s="27"/>
      <c r="L149" s="181"/>
      <c r="M149" s="181"/>
      <c r="N149" s="181"/>
      <c r="O149" s="181"/>
      <c r="P149" s="122"/>
    </row>
    <row r="150" spans="2:16" x14ac:dyDescent="0.35">
      <c r="B150" s="132"/>
      <c r="C150" s="27"/>
      <c r="D150" s="27"/>
      <c r="E150" s="27"/>
      <c r="F150" s="27"/>
      <c r="G150" s="27"/>
      <c r="H150" s="27"/>
      <c r="I150" s="28"/>
      <c r="J150" s="28"/>
      <c r="K150" s="27"/>
      <c r="L150" s="181"/>
      <c r="M150" s="181"/>
      <c r="N150" s="181"/>
      <c r="O150" s="181"/>
      <c r="P150" s="122"/>
    </row>
    <row r="151" spans="2:16" x14ac:dyDescent="0.35">
      <c r="B151" s="132"/>
      <c r="C151" s="27" t="s">
        <v>191</v>
      </c>
      <c r="D151" s="27"/>
      <c r="E151" s="27"/>
      <c r="F151" s="27"/>
      <c r="G151" s="27"/>
      <c r="H151" s="27"/>
      <c r="I151" s="28"/>
      <c r="J151" s="28"/>
      <c r="K151" s="27"/>
      <c r="L151" s="181"/>
      <c r="M151" s="181"/>
      <c r="N151" s="181"/>
      <c r="O151" s="181"/>
      <c r="P151" s="122"/>
    </row>
    <row r="152" spans="2:16" ht="28.5" thickBot="1" x14ac:dyDescent="0.4">
      <c r="B152" s="132"/>
      <c r="C152" s="33" t="s">
        <v>192</v>
      </c>
      <c r="D152" s="45" t="s">
        <v>193</v>
      </c>
      <c r="E152" s="45" t="s">
        <v>194</v>
      </c>
      <c r="F152" s="45" t="s">
        <v>195</v>
      </c>
      <c r="G152" s="45" t="s">
        <v>196</v>
      </c>
      <c r="H152" s="45" t="s">
        <v>197</v>
      </c>
      <c r="I152" s="45" t="s">
        <v>198</v>
      </c>
      <c r="J152" s="45" t="s">
        <v>199</v>
      </c>
      <c r="K152" s="45" t="s">
        <v>200</v>
      </c>
      <c r="L152" s="33" t="s">
        <v>201</v>
      </c>
      <c r="M152" s="131" t="s">
        <v>202</v>
      </c>
      <c r="N152" s="15"/>
      <c r="O152" s="15"/>
      <c r="P152" s="122"/>
    </row>
    <row r="153" spans="2:16" ht="15" thickTop="1" x14ac:dyDescent="0.35">
      <c r="B153" s="132"/>
      <c r="C153" s="46" t="s">
        <v>203</v>
      </c>
      <c r="D153" s="184">
        <v>516.5</v>
      </c>
      <c r="E153" s="50" t="s">
        <v>204</v>
      </c>
      <c r="F153" s="184">
        <v>47.366326420209788</v>
      </c>
      <c r="G153" s="184">
        <v>63.946326420209786</v>
      </c>
      <c r="H153" s="184">
        <v>1.0030530114375726</v>
      </c>
      <c r="I153" s="184">
        <v>0.73394122788115068</v>
      </c>
      <c r="J153" s="184">
        <v>0.5382235671128438</v>
      </c>
      <c r="K153" s="184">
        <v>9.4130591148709328</v>
      </c>
      <c r="L153" s="187">
        <v>5.0202981945978298</v>
      </c>
      <c r="M153" s="185">
        <v>5.5487506361344439</v>
      </c>
      <c r="N153" s="188"/>
      <c r="O153" s="188"/>
      <c r="P153" s="122"/>
    </row>
    <row r="154" spans="2:16" x14ac:dyDescent="0.35">
      <c r="B154" s="132"/>
      <c r="C154" s="46" t="s">
        <v>205</v>
      </c>
      <c r="D154" s="184">
        <v>537.54999999999995</v>
      </c>
      <c r="E154" s="50" t="s">
        <v>204</v>
      </c>
      <c r="F154" s="184">
        <v>47.605509573313697</v>
      </c>
      <c r="G154" s="184">
        <v>64.185509573313695</v>
      </c>
      <c r="H154" s="184">
        <v>1.049204008516526</v>
      </c>
      <c r="I154" s="184">
        <v>0.76771025013404326</v>
      </c>
      <c r="J154" s="184">
        <v>0.56298751676496517</v>
      </c>
      <c r="K154" s="184">
        <v>9.8333323912734105</v>
      </c>
      <c r="L154" s="187">
        <v>5.2444439420124853</v>
      </c>
      <c r="M154" s="185">
        <v>5.7964906727506413</v>
      </c>
      <c r="N154" s="188"/>
      <c r="O154" s="188"/>
      <c r="P154" s="122"/>
    </row>
    <row r="155" spans="2:16" x14ac:dyDescent="0.35">
      <c r="B155" s="132"/>
      <c r="C155" s="46" t="s">
        <v>206</v>
      </c>
      <c r="D155" s="184">
        <v>562.54999999999995</v>
      </c>
      <c r="E155" s="50" t="s">
        <v>204</v>
      </c>
      <c r="F155" s="184">
        <v>47.8624816470968</v>
      </c>
      <c r="G155" s="184">
        <v>64.442481647096798</v>
      </c>
      <c r="H155" s="184">
        <v>1.1039266010735462</v>
      </c>
      <c r="I155" s="184">
        <v>0.80775117151722908</v>
      </c>
      <c r="J155" s="184">
        <v>0.59235085911263463</v>
      </c>
      <c r="K155" s="184">
        <v>10.331853644413675</v>
      </c>
      <c r="L155" s="187">
        <v>5.5103219436872939</v>
      </c>
      <c r="M155" s="185">
        <v>6.0903558324964822</v>
      </c>
      <c r="N155" s="188"/>
      <c r="O155" s="188"/>
      <c r="P155" s="122"/>
    </row>
    <row r="156" spans="2:16" x14ac:dyDescent="0.35">
      <c r="B156" s="132"/>
      <c r="C156" s="46" t="s">
        <v>207</v>
      </c>
      <c r="D156" s="184">
        <v>587.54999999999995</v>
      </c>
      <c r="E156" s="50" t="s">
        <v>204</v>
      </c>
      <c r="F156" s="184">
        <v>48.089720428979902</v>
      </c>
      <c r="G156" s="184">
        <v>64.6697204289799</v>
      </c>
      <c r="H156" s="184">
        <v>1.1584597247599329</v>
      </c>
      <c r="I156" s="184">
        <v>0.84765345714141427</v>
      </c>
      <c r="J156" s="184">
        <v>0.62161253523703719</v>
      </c>
      <c r="K156" s="184">
        <v>10.829057857843434</v>
      </c>
      <c r="L156" s="187">
        <v>5.775497524183165</v>
      </c>
      <c r="M156" s="185">
        <v>6.3834446319919191</v>
      </c>
      <c r="N156" s="188"/>
      <c r="O156" s="188"/>
      <c r="P156" s="122"/>
    </row>
    <row r="157" spans="2:16" x14ac:dyDescent="0.35">
      <c r="B157" s="132"/>
      <c r="C157" s="46" t="s">
        <v>208</v>
      </c>
      <c r="D157" s="184">
        <v>612.54999999999995</v>
      </c>
      <c r="E157" s="50" t="s">
        <v>179</v>
      </c>
      <c r="F157" s="184">
        <v>48.286892468962989</v>
      </c>
      <c r="G157" s="184">
        <v>64.866892468962988</v>
      </c>
      <c r="H157" s="184">
        <v>1.2127035752563942</v>
      </c>
      <c r="I157" s="184">
        <v>0.88734407945589822</v>
      </c>
      <c r="J157" s="184">
        <v>0.650718991600992</v>
      </c>
      <c r="K157" s="184">
        <v>11.324251269831036</v>
      </c>
      <c r="L157" s="187">
        <v>6.0396006772432189</v>
      </c>
      <c r="M157" s="185">
        <v>6.6753481169530309</v>
      </c>
      <c r="N157" s="188"/>
      <c r="O157" s="188"/>
      <c r="P157" s="122"/>
    </row>
    <row r="158" spans="2:16" x14ac:dyDescent="0.35">
      <c r="B158" s="132"/>
      <c r="C158" s="46" t="s">
        <v>209</v>
      </c>
      <c r="D158" s="184">
        <v>637.54999999999995</v>
      </c>
      <c r="E158" s="50" t="s">
        <v>179</v>
      </c>
      <c r="F158" s="184">
        <v>48.453664317046091</v>
      </c>
      <c r="G158" s="184">
        <v>65.033664317046089</v>
      </c>
      <c r="H158" s="184">
        <v>1.2665569810986419</v>
      </c>
      <c r="I158" s="184">
        <v>0.92674901055998193</v>
      </c>
      <c r="J158" s="184">
        <v>0.67961594107732015</v>
      </c>
      <c r="K158" s="184">
        <v>11.816730615319829</v>
      </c>
      <c r="L158" s="187">
        <v>6.302256328170575</v>
      </c>
      <c r="M158" s="185">
        <v>6.9656517311358979</v>
      </c>
      <c r="N158" s="188"/>
      <c r="O158" s="188"/>
      <c r="P158" s="122"/>
    </row>
    <row r="159" spans="2:16" x14ac:dyDescent="0.35">
      <c r="B159" s="132"/>
      <c r="C159" s="46" t="s">
        <v>210</v>
      </c>
      <c r="D159" s="184">
        <v>662.55</v>
      </c>
      <c r="E159" s="50" t="s">
        <v>179</v>
      </c>
      <c r="F159" s="184">
        <v>48.589702523229192</v>
      </c>
      <c r="G159" s="184">
        <v>65.169702523229191</v>
      </c>
      <c r="H159" s="184">
        <v>1.3199174036773855</v>
      </c>
      <c r="I159" s="184">
        <v>0.96579322220296504</v>
      </c>
      <c r="J159" s="184">
        <v>0.70824836294884108</v>
      </c>
      <c r="K159" s="184">
        <v>12.305783125928167</v>
      </c>
      <c r="L159" s="187">
        <v>6.5630843338283551</v>
      </c>
      <c r="M159" s="185">
        <v>7.2539353163366025</v>
      </c>
      <c r="N159" s="188"/>
      <c r="O159" s="188"/>
      <c r="P159" s="122"/>
    </row>
    <row r="160" spans="2:16" x14ac:dyDescent="0.35">
      <c r="B160" s="132"/>
      <c r="C160" s="46" t="s">
        <v>211</v>
      </c>
      <c r="D160" s="184">
        <v>687.55</v>
      </c>
      <c r="E160" s="50" t="s">
        <v>179</v>
      </c>
      <c r="F160" s="184">
        <v>48.694673637512295</v>
      </c>
      <c r="G160" s="184">
        <v>65.274673637512294</v>
      </c>
      <c r="H160" s="184">
        <v>1.3726809372383346</v>
      </c>
      <c r="I160" s="184">
        <v>1.0044006857841474</v>
      </c>
      <c r="J160" s="184">
        <v>0.73656050290837471</v>
      </c>
      <c r="K160" s="184">
        <v>12.790686529949399</v>
      </c>
      <c r="L160" s="187">
        <v>6.82169948263968</v>
      </c>
      <c r="M160" s="185">
        <v>7.5397731123912237</v>
      </c>
      <c r="N160" s="188"/>
      <c r="O160" s="188"/>
      <c r="P160" s="122"/>
    </row>
    <row r="161" spans="2:16" x14ac:dyDescent="0.35">
      <c r="B161" s="132"/>
      <c r="C161" s="46" t="s">
        <v>212</v>
      </c>
      <c r="D161" s="184">
        <v>725.05</v>
      </c>
      <c r="E161" s="50" t="s">
        <v>167</v>
      </c>
      <c r="F161" s="184">
        <v>48.793150089749446</v>
      </c>
      <c r="G161" s="184">
        <v>65.373150089749444</v>
      </c>
      <c r="H161" s="184">
        <v>1.4504764123754863</v>
      </c>
      <c r="I161" s="184">
        <v>1.0613242041771849</v>
      </c>
      <c r="J161" s="184">
        <v>0.77830441639660242</v>
      </c>
      <c r="K161" s="184">
        <v>13.508658704683258</v>
      </c>
      <c r="L161" s="187">
        <v>7.20461797583107</v>
      </c>
      <c r="M161" s="185">
        <v>7.9629988153922353</v>
      </c>
      <c r="N161" s="188"/>
      <c r="O161" s="188"/>
      <c r="P161" s="122"/>
    </row>
    <row r="162" spans="2:16" x14ac:dyDescent="0.35">
      <c r="B162" s="132"/>
      <c r="C162" s="46" t="s">
        <v>213</v>
      </c>
      <c r="D162" s="184">
        <v>775.05</v>
      </c>
      <c r="E162" s="50" t="s">
        <v>167</v>
      </c>
      <c r="F162" s="184">
        <v>48.817999999999984</v>
      </c>
      <c r="G162" s="184">
        <v>65.397999999999982</v>
      </c>
      <c r="H162" s="184">
        <v>1.5512920268999992</v>
      </c>
      <c r="I162" s="184">
        <v>1.1350917269999994</v>
      </c>
      <c r="J162" s="184">
        <v>0.83240059979999959</v>
      </c>
      <c r="K162" s="184">
        <v>14.445715171499996</v>
      </c>
      <c r="L162" s="187">
        <v>7.7043814247999975</v>
      </c>
      <c r="M162" s="185">
        <v>8.5153689431999986</v>
      </c>
      <c r="N162" s="188"/>
      <c r="O162" s="188"/>
      <c r="P162" s="122"/>
    </row>
    <row r="163" spans="2:16" x14ac:dyDescent="0.35">
      <c r="B163" s="132"/>
      <c r="C163" s="46" t="s">
        <v>214</v>
      </c>
      <c r="D163" s="184">
        <v>825.05</v>
      </c>
      <c r="E163" s="50" t="s">
        <v>167</v>
      </c>
      <c r="F163" s="184">
        <v>48.817999999999984</v>
      </c>
      <c r="G163" s="184">
        <v>65.397999999999982</v>
      </c>
      <c r="H163" s="184">
        <v>1.6513689268999994</v>
      </c>
      <c r="I163" s="184">
        <v>1.2083187269999995</v>
      </c>
      <c r="J163" s="184">
        <v>0.88610039979999966</v>
      </c>
      <c r="K163" s="184">
        <v>15.377636671499994</v>
      </c>
      <c r="L163" s="187">
        <v>8.2014062247999959</v>
      </c>
      <c r="M163" s="185">
        <v>9.064712143199996</v>
      </c>
      <c r="N163" s="188"/>
      <c r="O163" s="188"/>
      <c r="P163" s="122"/>
    </row>
    <row r="164" spans="2:16" x14ac:dyDescent="0.35">
      <c r="B164" s="132"/>
      <c r="C164" s="46" t="s">
        <v>215</v>
      </c>
      <c r="D164" s="184">
        <v>875.05</v>
      </c>
      <c r="E164" s="50" t="s">
        <v>167</v>
      </c>
      <c r="F164" s="184">
        <v>48.817999999999984</v>
      </c>
      <c r="G164" s="184">
        <v>65.397999999999982</v>
      </c>
      <c r="H164" s="184">
        <v>1.7514458268999995</v>
      </c>
      <c r="I164" s="184">
        <v>1.2815457269999997</v>
      </c>
      <c r="J164" s="184">
        <v>0.93980019979999974</v>
      </c>
      <c r="K164" s="184">
        <v>16.309558171499994</v>
      </c>
      <c r="L164" s="187">
        <v>8.6984310247999979</v>
      </c>
      <c r="M164" s="185">
        <v>9.6140553431999969</v>
      </c>
      <c r="N164" s="188"/>
      <c r="O164" s="188"/>
      <c r="P164" s="122"/>
    </row>
    <row r="165" spans="2:16" x14ac:dyDescent="0.35">
      <c r="B165" s="132"/>
      <c r="C165" s="46" t="s">
        <v>216</v>
      </c>
      <c r="D165" s="184">
        <v>925.05</v>
      </c>
      <c r="E165" s="50" t="s">
        <v>170</v>
      </c>
      <c r="F165" s="184">
        <v>48.817999999999984</v>
      </c>
      <c r="G165" s="184">
        <v>65.397999999999982</v>
      </c>
      <c r="H165" s="184">
        <v>1.851522726899999</v>
      </c>
      <c r="I165" s="184">
        <v>1.3547727269999992</v>
      </c>
      <c r="J165" s="184">
        <v>0.99349999979999948</v>
      </c>
      <c r="K165" s="184">
        <v>17.241479671499995</v>
      </c>
      <c r="L165" s="187">
        <v>9.1954558247999962</v>
      </c>
      <c r="M165" s="185">
        <v>10.163398543199996</v>
      </c>
      <c r="N165" s="188"/>
      <c r="O165" s="188"/>
      <c r="P165" s="122"/>
    </row>
    <row r="166" spans="2:16" x14ac:dyDescent="0.35">
      <c r="B166" s="132"/>
      <c r="C166" s="46" t="s">
        <v>217</v>
      </c>
      <c r="D166" s="184">
        <v>975.05</v>
      </c>
      <c r="E166" s="50" t="s">
        <v>170</v>
      </c>
      <c r="F166" s="184">
        <v>48.817999999999984</v>
      </c>
      <c r="G166" s="184">
        <v>65.397999999999982</v>
      </c>
      <c r="H166" s="184">
        <v>1.9515996268999991</v>
      </c>
      <c r="I166" s="184">
        <v>1.4279997269999993</v>
      </c>
      <c r="J166" s="184">
        <v>1.0471997997999996</v>
      </c>
      <c r="K166" s="184">
        <v>18.173401171499993</v>
      </c>
      <c r="L166" s="187">
        <v>9.6924806247999964</v>
      </c>
      <c r="M166" s="185">
        <v>10.712741743199995</v>
      </c>
      <c r="N166" s="188"/>
      <c r="O166" s="188"/>
      <c r="P166" s="122"/>
    </row>
    <row r="167" spans="2:16" x14ac:dyDescent="0.35">
      <c r="B167" s="132"/>
      <c r="C167" s="46" t="s">
        <v>218</v>
      </c>
      <c r="D167" s="184">
        <v>1050.05</v>
      </c>
      <c r="E167" s="50" t="s">
        <v>170</v>
      </c>
      <c r="F167" s="184">
        <v>48.817999999999984</v>
      </c>
      <c r="G167" s="184">
        <v>65.397999999999982</v>
      </c>
      <c r="H167" s="184">
        <v>2.101714976899999</v>
      </c>
      <c r="I167" s="184">
        <v>1.5378402269999993</v>
      </c>
      <c r="J167" s="184">
        <v>1.1277494997999997</v>
      </c>
      <c r="K167" s="184">
        <v>19.571283421499995</v>
      </c>
      <c r="L167" s="187">
        <v>10.438017824799996</v>
      </c>
      <c r="M167" s="185">
        <v>11.536756543199996</v>
      </c>
      <c r="N167" s="188"/>
      <c r="O167" s="188"/>
      <c r="P167" s="122"/>
    </row>
    <row r="168" spans="2:16" x14ac:dyDescent="0.35">
      <c r="B168" s="132"/>
      <c r="C168" s="46" t="s">
        <v>219</v>
      </c>
      <c r="D168" s="184">
        <v>1150.05</v>
      </c>
      <c r="E168" s="50" t="s">
        <v>170</v>
      </c>
      <c r="F168" s="184">
        <v>48.817999999999984</v>
      </c>
      <c r="G168" s="184">
        <v>65.397999999999982</v>
      </c>
      <c r="H168" s="184">
        <v>2.3018687768999988</v>
      </c>
      <c r="I168" s="184">
        <v>1.6842942269999992</v>
      </c>
      <c r="J168" s="184">
        <v>1.2351490997999994</v>
      </c>
      <c r="K168" s="184">
        <v>21.435126421499994</v>
      </c>
      <c r="L168" s="187">
        <v>11.432067424799996</v>
      </c>
      <c r="M168" s="185">
        <v>12.635442943199996</v>
      </c>
      <c r="N168" s="188"/>
      <c r="O168" s="188"/>
      <c r="P168" s="122"/>
    </row>
    <row r="169" spans="2:16" x14ac:dyDescent="0.35">
      <c r="B169" s="132"/>
      <c r="C169" s="46" t="s">
        <v>220</v>
      </c>
      <c r="D169" s="184">
        <v>1300.05</v>
      </c>
      <c r="E169" s="50" t="s">
        <v>221</v>
      </c>
      <c r="F169" s="184">
        <v>48.817999999999984</v>
      </c>
      <c r="G169" s="184">
        <v>65.397999999999982</v>
      </c>
      <c r="H169" s="184">
        <v>2.602099476899999</v>
      </c>
      <c r="I169" s="184">
        <v>1.9039752269999992</v>
      </c>
      <c r="J169" s="184">
        <v>1.3962484997999995</v>
      </c>
      <c r="K169" s="184">
        <v>24.230890921499991</v>
      </c>
      <c r="L169" s="187">
        <v>12.923141824799995</v>
      </c>
      <c r="M169" s="185">
        <v>14.283472543199993</v>
      </c>
      <c r="N169" s="188"/>
      <c r="O169" s="188"/>
      <c r="P169" s="122"/>
    </row>
    <row r="170" spans="2:16" x14ac:dyDescent="0.35">
      <c r="B170" s="132"/>
      <c r="C170" s="46" t="s">
        <v>222</v>
      </c>
      <c r="D170" s="184">
        <v>1500.05</v>
      </c>
      <c r="E170" s="50" t="s">
        <v>221</v>
      </c>
      <c r="F170" s="184">
        <v>48.817999999999984</v>
      </c>
      <c r="G170" s="184">
        <v>65.397999999999982</v>
      </c>
      <c r="H170" s="184">
        <v>3.0024070768999986</v>
      </c>
      <c r="I170" s="184">
        <v>2.1968832269999989</v>
      </c>
      <c r="J170" s="184">
        <v>1.6110476997999994</v>
      </c>
      <c r="K170" s="184">
        <v>27.95857692149999</v>
      </c>
      <c r="L170" s="187">
        <v>14.911241024799995</v>
      </c>
      <c r="M170" s="185">
        <v>16.480845343199995</v>
      </c>
      <c r="N170" s="188"/>
      <c r="O170" s="188"/>
      <c r="P170" s="122"/>
    </row>
    <row r="171" spans="2:16" x14ac:dyDescent="0.35">
      <c r="B171" s="132"/>
      <c r="C171" s="46" t="s">
        <v>223</v>
      </c>
      <c r="D171" s="184">
        <v>1800.05</v>
      </c>
      <c r="E171" s="50" t="s">
        <v>224</v>
      </c>
      <c r="F171" s="184">
        <v>48.817999999999984</v>
      </c>
      <c r="G171" s="184">
        <v>65.397999999999982</v>
      </c>
      <c r="H171" s="184">
        <v>3.6028684768999981</v>
      </c>
      <c r="I171" s="184">
        <v>2.6362452269999985</v>
      </c>
      <c r="J171" s="184">
        <v>1.9332464997999992</v>
      </c>
      <c r="K171" s="184">
        <v>33.550105921499991</v>
      </c>
      <c r="L171" s="187">
        <v>17.893389824799996</v>
      </c>
      <c r="M171" s="185">
        <v>19.776904543199993</v>
      </c>
      <c r="N171" s="188"/>
      <c r="O171" s="188"/>
      <c r="P171" s="122"/>
    </row>
    <row r="172" spans="2:16" x14ac:dyDescent="0.35">
      <c r="B172" s="132"/>
      <c r="C172" s="46" t="s">
        <v>225</v>
      </c>
      <c r="D172" s="184">
        <v>2200.0500000000002</v>
      </c>
      <c r="E172" s="50" t="s">
        <v>224</v>
      </c>
      <c r="F172" s="184">
        <v>48.817999999999984</v>
      </c>
      <c r="G172" s="184">
        <v>65.397999999999982</v>
      </c>
      <c r="H172" s="184">
        <v>4.4034836768999988</v>
      </c>
      <c r="I172" s="184">
        <v>3.2220612269999993</v>
      </c>
      <c r="J172" s="184">
        <v>2.3628448997999998</v>
      </c>
      <c r="K172" s="184">
        <v>41.005477921499988</v>
      </c>
      <c r="L172" s="187">
        <v>21.869588224799994</v>
      </c>
      <c r="M172" s="185">
        <v>24.17165014319999</v>
      </c>
      <c r="N172" s="188"/>
      <c r="O172" s="188"/>
      <c r="P172" s="122"/>
    </row>
    <row r="173" spans="2:16" x14ac:dyDescent="0.35">
      <c r="B173" s="132"/>
      <c r="C173" s="46" t="s">
        <v>226</v>
      </c>
      <c r="D173" s="184">
        <v>2700.05</v>
      </c>
      <c r="E173" s="50" t="s">
        <v>224</v>
      </c>
      <c r="F173" s="184">
        <v>48.817999999999984</v>
      </c>
      <c r="G173" s="184">
        <v>65.397999999999982</v>
      </c>
      <c r="H173" s="184">
        <v>5.4042526768999988</v>
      </c>
      <c r="I173" s="184">
        <v>3.9543312269999986</v>
      </c>
      <c r="J173" s="184">
        <v>2.8998428997999994</v>
      </c>
      <c r="K173" s="184">
        <v>50.324692921499988</v>
      </c>
      <c r="L173" s="187">
        <v>26.839836224799992</v>
      </c>
      <c r="M173" s="185">
        <v>29.665082143199992</v>
      </c>
      <c r="N173" s="188"/>
      <c r="O173" s="188"/>
      <c r="P173" s="122"/>
    </row>
    <row r="174" spans="2:16" x14ac:dyDescent="0.35">
      <c r="B174" s="132"/>
      <c r="C174" s="46" t="s">
        <v>227</v>
      </c>
      <c r="D174" s="184">
        <v>3500.05</v>
      </c>
      <c r="E174" s="50" t="s">
        <v>224</v>
      </c>
      <c r="F174" s="184">
        <v>48.817999999999984</v>
      </c>
      <c r="G174" s="184">
        <v>65.397999999999982</v>
      </c>
      <c r="H174" s="184">
        <v>7.0054830768999983</v>
      </c>
      <c r="I174" s="184">
        <v>5.1259632269999988</v>
      </c>
      <c r="J174" s="184">
        <v>3.7590396997999993</v>
      </c>
      <c r="K174" s="184">
        <v>65.235436921499982</v>
      </c>
      <c r="L174" s="187">
        <v>34.792233024799991</v>
      </c>
      <c r="M174" s="185">
        <v>38.454573343199982</v>
      </c>
      <c r="N174" s="188"/>
      <c r="O174" s="188"/>
      <c r="P174" s="122"/>
    </row>
    <row r="175" spans="2:16" x14ac:dyDescent="0.35">
      <c r="B175" s="132"/>
      <c r="C175" s="46" t="s">
        <v>228</v>
      </c>
      <c r="D175" s="184">
        <v>4750.05</v>
      </c>
      <c r="E175" s="50" t="s">
        <v>224</v>
      </c>
      <c r="F175" s="184">
        <v>48.817999999999984</v>
      </c>
      <c r="G175" s="184">
        <v>65.397999999999982</v>
      </c>
      <c r="H175" s="184">
        <v>9.5074055768999965</v>
      </c>
      <c r="I175" s="184">
        <v>6.9566382269999973</v>
      </c>
      <c r="J175" s="184">
        <v>5.1015346997999984</v>
      </c>
      <c r="K175" s="184">
        <v>88.533474421499989</v>
      </c>
      <c r="L175" s="187">
        <v>47.217853024799986</v>
      </c>
      <c r="M175" s="185">
        <v>52.188153343199986</v>
      </c>
      <c r="N175" s="188"/>
      <c r="O175" s="188"/>
      <c r="P175" s="122"/>
    </row>
    <row r="176" spans="2:16" x14ac:dyDescent="0.35">
      <c r="B176" s="132"/>
      <c r="C176" s="27"/>
      <c r="D176" s="27"/>
      <c r="E176" s="27"/>
      <c r="F176" s="27"/>
      <c r="G176" s="27"/>
      <c r="H176" s="27"/>
      <c r="I176" s="28"/>
      <c r="J176" s="28"/>
      <c r="K176" s="27"/>
      <c r="L176" s="181"/>
      <c r="M176" s="181"/>
      <c r="N176" s="181"/>
      <c r="O176" s="181"/>
      <c r="P176" s="122"/>
    </row>
    <row r="177" spans="2:16" x14ac:dyDescent="0.35">
      <c r="B177" s="132"/>
      <c r="C177" s="27" t="s">
        <v>229</v>
      </c>
      <c r="D177" s="27"/>
      <c r="E177" s="27"/>
      <c r="F177" s="27"/>
      <c r="G177" s="27" t="s">
        <v>230</v>
      </c>
      <c r="H177" s="27"/>
      <c r="I177" s="27" t="s">
        <v>231</v>
      </c>
      <c r="J177" s="28"/>
      <c r="K177" s="27"/>
      <c r="L177" s="181"/>
      <c r="M177" s="181"/>
      <c r="N177" s="181"/>
      <c r="O177" s="181"/>
      <c r="P177" s="122"/>
    </row>
    <row r="178" spans="2:16" ht="15" thickBot="1" x14ac:dyDescent="0.4">
      <c r="B178" s="132"/>
      <c r="C178" s="33" t="s">
        <v>232</v>
      </c>
      <c r="D178" s="39" t="s">
        <v>233</v>
      </c>
      <c r="E178" s="27"/>
      <c r="F178" s="27"/>
      <c r="G178" s="36" t="s">
        <v>234</v>
      </c>
      <c r="H178" s="27"/>
      <c r="I178" s="36" t="s">
        <v>235</v>
      </c>
      <c r="J178" s="28"/>
      <c r="K178" s="27"/>
      <c r="L178" s="181"/>
      <c r="M178" s="181"/>
      <c r="N178" s="181"/>
      <c r="O178" s="181"/>
      <c r="P178" s="122"/>
    </row>
    <row r="179" spans="2:16" ht="15" thickTop="1" x14ac:dyDescent="0.35">
      <c r="B179" s="132"/>
      <c r="C179" s="34" t="s">
        <v>165</v>
      </c>
      <c r="D179" s="40" t="s">
        <v>165</v>
      </c>
      <c r="E179" s="27"/>
      <c r="F179" s="27"/>
      <c r="G179" s="191" t="s">
        <v>166</v>
      </c>
      <c r="H179" s="27"/>
      <c r="I179" s="191" t="s">
        <v>166</v>
      </c>
      <c r="J179" s="28"/>
      <c r="K179" s="27"/>
      <c r="L179" s="181"/>
      <c r="M179" s="181"/>
      <c r="N179" s="181"/>
      <c r="O179" s="181"/>
      <c r="P179" s="122"/>
    </row>
    <row r="180" spans="2:16" x14ac:dyDescent="0.35">
      <c r="B180" s="132"/>
      <c r="C180" s="27"/>
      <c r="D180" s="27"/>
      <c r="E180" s="27"/>
      <c r="F180" s="27"/>
      <c r="G180" s="37" t="s">
        <v>171</v>
      </c>
      <c r="H180" s="27"/>
      <c r="I180" s="37" t="s">
        <v>171</v>
      </c>
      <c r="J180" s="28"/>
      <c r="K180" s="27"/>
      <c r="L180" s="181"/>
      <c r="M180" s="181"/>
      <c r="N180" s="181"/>
      <c r="O180" s="181"/>
      <c r="P180" s="122"/>
    </row>
    <row r="181" spans="2:16" x14ac:dyDescent="0.35">
      <c r="B181" s="132"/>
      <c r="C181" s="27"/>
      <c r="D181" s="27"/>
      <c r="E181" s="27"/>
      <c r="F181" s="27"/>
      <c r="G181" s="37" t="s">
        <v>236</v>
      </c>
      <c r="H181" s="27"/>
      <c r="I181" s="37" t="s">
        <v>172</v>
      </c>
      <c r="J181" s="181"/>
      <c r="K181" s="181"/>
      <c r="L181" s="181"/>
      <c r="M181" s="181"/>
      <c r="N181" s="181"/>
      <c r="O181" s="181"/>
      <c r="P181" s="122"/>
    </row>
    <row r="182" spans="2:16" x14ac:dyDescent="0.35">
      <c r="B182" s="132"/>
      <c r="C182" s="27" t="s">
        <v>237</v>
      </c>
      <c r="D182" s="27"/>
      <c r="E182" s="27"/>
      <c r="F182" s="27"/>
      <c r="G182" s="37" t="s">
        <v>181</v>
      </c>
      <c r="H182" s="29"/>
      <c r="I182" s="189" t="s">
        <v>174</v>
      </c>
      <c r="J182" s="181"/>
      <c r="K182" s="181"/>
      <c r="L182" s="181"/>
      <c r="M182" s="181"/>
      <c r="N182" s="181"/>
      <c r="O182" s="181"/>
      <c r="P182" s="122"/>
    </row>
    <row r="183" spans="2:16" ht="15" thickBot="1" x14ac:dyDescent="0.4">
      <c r="B183" s="132"/>
      <c r="C183" s="32" t="s">
        <v>238</v>
      </c>
      <c r="D183" s="31" t="s">
        <v>239</v>
      </c>
      <c r="E183" s="41" t="s">
        <v>240</v>
      </c>
      <c r="F183" s="27"/>
      <c r="G183" s="37" t="s">
        <v>172</v>
      </c>
      <c r="H183" s="27"/>
      <c r="I183" s="37" t="s">
        <v>175</v>
      </c>
      <c r="J183" s="181"/>
      <c r="K183" s="181"/>
      <c r="L183" s="181"/>
      <c r="M183" s="181"/>
      <c r="N183" s="181"/>
      <c r="O183" s="181"/>
      <c r="P183" s="122"/>
    </row>
    <row r="184" spans="2:16" ht="15" thickTop="1" x14ac:dyDescent="0.35">
      <c r="B184" s="132"/>
      <c r="C184" s="42" t="s">
        <v>241</v>
      </c>
      <c r="D184" s="43" t="s">
        <v>168</v>
      </c>
      <c r="E184" s="40" t="s">
        <v>242</v>
      </c>
      <c r="F184" s="27"/>
      <c r="G184" s="37" t="s">
        <v>174</v>
      </c>
      <c r="H184" s="27"/>
      <c r="I184" s="37" t="s">
        <v>176</v>
      </c>
      <c r="J184" s="181"/>
      <c r="K184" s="181"/>
      <c r="L184" s="181"/>
      <c r="M184" s="181"/>
      <c r="N184" s="181"/>
      <c r="O184" s="181"/>
      <c r="P184" s="122"/>
    </row>
    <row r="185" spans="2:16" x14ac:dyDescent="0.35">
      <c r="B185" s="132"/>
      <c r="C185" s="42" t="s">
        <v>243</v>
      </c>
      <c r="D185" s="43" t="s">
        <v>169</v>
      </c>
      <c r="E185" s="40" t="s">
        <v>244</v>
      </c>
      <c r="F185" s="27"/>
      <c r="G185" s="37" t="s">
        <v>175</v>
      </c>
      <c r="H185" s="27"/>
      <c r="I185" s="37" t="s">
        <v>177</v>
      </c>
      <c r="J185" s="181"/>
      <c r="K185" s="181"/>
      <c r="L185" s="181"/>
      <c r="M185" s="181"/>
      <c r="N185" s="181"/>
      <c r="O185" s="181"/>
      <c r="P185" s="122"/>
    </row>
    <row r="186" spans="2:16" x14ac:dyDescent="0.35">
      <c r="B186" s="132"/>
      <c r="C186" s="42" t="s">
        <v>245</v>
      </c>
      <c r="D186" s="43" t="s">
        <v>173</v>
      </c>
      <c r="E186" s="40" t="s">
        <v>246</v>
      </c>
      <c r="F186" s="27"/>
      <c r="G186" s="37" t="s">
        <v>176</v>
      </c>
      <c r="H186" s="27"/>
      <c r="I186" s="38" t="s">
        <v>183</v>
      </c>
      <c r="J186" s="181"/>
      <c r="K186" s="181"/>
      <c r="L186" s="181"/>
      <c r="M186" s="181"/>
      <c r="N186" s="181"/>
      <c r="O186" s="181"/>
      <c r="P186" s="122"/>
    </row>
    <row r="187" spans="2:16" x14ac:dyDescent="0.35">
      <c r="B187" s="132"/>
      <c r="C187" s="34" t="s">
        <v>247</v>
      </c>
      <c r="D187" s="43" t="s">
        <v>169</v>
      </c>
      <c r="E187" s="40" t="s">
        <v>244</v>
      </c>
      <c r="F187" s="27"/>
      <c r="G187" s="37" t="s">
        <v>177</v>
      </c>
      <c r="H187" s="27"/>
      <c r="I187" s="38" t="s">
        <v>185</v>
      </c>
      <c r="J187" s="181"/>
      <c r="K187" s="181"/>
      <c r="L187" s="181"/>
      <c r="M187" s="181"/>
      <c r="N187" s="181"/>
      <c r="O187" s="181"/>
      <c r="P187" s="122"/>
    </row>
    <row r="188" spans="2:16" x14ac:dyDescent="0.35">
      <c r="B188" s="132"/>
      <c r="C188" s="34" t="s">
        <v>248</v>
      </c>
      <c r="D188" s="43" t="s">
        <v>169</v>
      </c>
      <c r="E188" s="40" t="s">
        <v>244</v>
      </c>
      <c r="F188" s="27"/>
      <c r="G188" s="38" t="s">
        <v>183</v>
      </c>
      <c r="H188" s="27"/>
      <c r="I188" s="38" t="s">
        <v>186</v>
      </c>
      <c r="J188" s="181"/>
      <c r="K188" s="181"/>
      <c r="L188" s="181"/>
      <c r="M188" s="181"/>
      <c r="N188" s="181"/>
      <c r="O188" s="181"/>
      <c r="P188" s="122"/>
    </row>
    <row r="189" spans="2:16" x14ac:dyDescent="0.35">
      <c r="B189" s="132"/>
      <c r="C189" s="42" t="s">
        <v>249</v>
      </c>
      <c r="D189" s="43" t="s">
        <v>169</v>
      </c>
      <c r="E189" s="37" t="s">
        <v>244</v>
      </c>
      <c r="F189" s="27"/>
      <c r="G189" s="38" t="s">
        <v>185</v>
      </c>
      <c r="H189" s="27"/>
      <c r="I189" s="38" t="s">
        <v>187</v>
      </c>
      <c r="J189" s="181"/>
      <c r="K189" s="181"/>
      <c r="L189" s="181"/>
      <c r="M189" s="181"/>
      <c r="N189" s="181"/>
      <c r="O189" s="181"/>
      <c r="P189" s="122"/>
    </row>
    <row r="190" spans="2:16" x14ac:dyDescent="0.35">
      <c r="B190" s="132"/>
      <c r="C190" s="27"/>
      <c r="D190" s="28"/>
      <c r="E190" s="27"/>
      <c r="F190" s="27"/>
      <c r="G190" s="38" t="s">
        <v>186</v>
      </c>
      <c r="H190" s="27"/>
      <c r="I190" s="37" t="s">
        <v>188</v>
      </c>
      <c r="J190" s="181"/>
      <c r="K190" s="181"/>
      <c r="L190" s="181"/>
      <c r="M190" s="181"/>
      <c r="N190" s="181"/>
      <c r="O190" s="181"/>
      <c r="P190" s="122"/>
    </row>
    <row r="191" spans="2:16" x14ac:dyDescent="0.35">
      <c r="B191" s="132"/>
      <c r="C191" s="27" t="s">
        <v>250</v>
      </c>
      <c r="D191" s="28"/>
      <c r="E191" s="27"/>
      <c r="F191" s="27"/>
      <c r="G191" s="38" t="s">
        <v>187</v>
      </c>
      <c r="H191" s="27"/>
      <c r="I191" s="37" t="s">
        <v>251</v>
      </c>
      <c r="J191" s="181"/>
      <c r="K191" s="181"/>
      <c r="L191" s="181"/>
      <c r="M191" s="181"/>
      <c r="N191" s="181"/>
      <c r="O191" s="181"/>
      <c r="P191" s="122"/>
    </row>
    <row r="192" spans="2:16" ht="15" thickBot="1" x14ac:dyDescent="0.4">
      <c r="B192" s="132"/>
      <c r="C192" s="190" t="s">
        <v>154</v>
      </c>
      <c r="D192" s="36" t="s">
        <v>233</v>
      </c>
      <c r="E192" s="27"/>
      <c r="F192" s="27"/>
      <c r="G192" s="37" t="s">
        <v>188</v>
      </c>
      <c r="H192" s="27"/>
      <c r="I192" s="37" t="s">
        <v>190</v>
      </c>
      <c r="J192" s="181"/>
      <c r="K192" s="181"/>
      <c r="L192" s="181"/>
      <c r="M192" s="181"/>
      <c r="N192" s="181"/>
      <c r="O192" s="181"/>
      <c r="P192" s="122"/>
    </row>
    <row r="193" spans="2:16" ht="15" thickTop="1" x14ac:dyDescent="0.35">
      <c r="B193" s="132"/>
      <c r="C193" s="34" t="s">
        <v>252</v>
      </c>
      <c r="D193" s="35" t="b">
        <v>1</v>
      </c>
      <c r="E193" s="27"/>
      <c r="F193" s="27"/>
      <c r="G193" s="37" t="s">
        <v>251</v>
      </c>
      <c r="H193" s="27"/>
      <c r="I193" s="30" t="s">
        <v>184</v>
      </c>
      <c r="J193" s="181"/>
      <c r="K193" s="181"/>
      <c r="L193" s="181"/>
      <c r="M193" s="181"/>
      <c r="N193" s="181"/>
      <c r="O193" s="181"/>
      <c r="P193" s="122"/>
    </row>
    <row r="194" spans="2:16" x14ac:dyDescent="0.35">
      <c r="B194" s="132"/>
      <c r="C194" s="34" t="s">
        <v>253</v>
      </c>
      <c r="D194" s="35" t="b">
        <v>0</v>
      </c>
      <c r="E194" s="27"/>
      <c r="F194" s="27"/>
      <c r="G194" s="37" t="s">
        <v>190</v>
      </c>
      <c r="H194" s="27"/>
      <c r="I194" s="27"/>
      <c r="J194" s="181"/>
      <c r="K194" s="181"/>
      <c r="L194" s="181"/>
      <c r="M194" s="181"/>
      <c r="N194" s="181"/>
      <c r="O194" s="181"/>
      <c r="P194" s="122"/>
    </row>
    <row r="195" spans="2:16" x14ac:dyDescent="0.35">
      <c r="B195" s="132"/>
      <c r="C195" s="27"/>
      <c r="D195" s="28"/>
      <c r="E195" s="28"/>
      <c r="F195" s="27"/>
      <c r="G195" s="30" t="s">
        <v>184</v>
      </c>
      <c r="H195" s="27"/>
      <c r="I195" s="1"/>
      <c r="J195" s="1"/>
      <c r="K195" s="1"/>
      <c r="L195" s="1"/>
      <c r="M195" s="1"/>
      <c r="N195" s="1"/>
      <c r="O195" s="1"/>
      <c r="P195" s="122"/>
    </row>
    <row r="196" spans="2:16" ht="15" thickBot="1" x14ac:dyDescent="0.4">
      <c r="B196" s="148"/>
      <c r="C196" s="174"/>
      <c r="D196" s="175"/>
      <c r="E196" s="175"/>
      <c r="F196" s="174"/>
      <c r="G196" s="135"/>
      <c r="H196" s="176"/>
      <c r="I196" s="135"/>
      <c r="J196" s="135"/>
      <c r="K196" s="135"/>
      <c r="L196" s="135"/>
      <c r="M196" s="135"/>
      <c r="N196" s="135"/>
      <c r="O196" s="135"/>
      <c r="P196" s="136"/>
    </row>
    <row r="197" spans="2:16" ht="15" thickTop="1" x14ac:dyDescent="0.35">
      <c r="F197" s="37"/>
      <c r="H197" s="30"/>
    </row>
    <row r="198" spans="2:16" x14ac:dyDescent="0.35">
      <c r="F198" s="37"/>
      <c r="G198" s="37"/>
      <c r="H198" s="37"/>
      <c r="I198" s="35"/>
      <c r="J198" s="35"/>
      <c r="K198" s="30"/>
    </row>
    <row r="199" spans="2:16" x14ac:dyDescent="0.35">
      <c r="F199" s="37"/>
      <c r="G199" s="37"/>
      <c r="H199" s="37"/>
      <c r="I199" s="35"/>
      <c r="J199" s="35"/>
      <c r="K199" s="30"/>
    </row>
    <row r="200" spans="2:16" x14ac:dyDescent="0.35">
      <c r="F200" s="37"/>
      <c r="G200" s="37"/>
      <c r="H200" s="37"/>
      <c r="I200" s="35"/>
      <c r="J200" s="35"/>
      <c r="K200" s="30"/>
    </row>
    <row r="201" spans="2:16" x14ac:dyDescent="0.35">
      <c r="F201" s="37"/>
      <c r="G201" s="37"/>
      <c r="H201" s="37"/>
      <c r="I201" s="35"/>
      <c r="J201" s="35"/>
      <c r="K201" s="30"/>
    </row>
    <row r="202" spans="2:16" x14ac:dyDescent="0.35">
      <c r="F202" s="37"/>
      <c r="G202" s="37"/>
      <c r="H202" s="37"/>
      <c r="I202" s="35"/>
      <c r="J202" s="35"/>
      <c r="K202" s="30"/>
    </row>
    <row r="203" spans="2:16" x14ac:dyDescent="0.35">
      <c r="F203" s="37"/>
      <c r="G203" s="37"/>
      <c r="H203" s="37"/>
      <c r="I203" s="35"/>
      <c r="J203" s="35"/>
      <c r="K203" s="30"/>
    </row>
    <row r="204" spans="2:16" x14ac:dyDescent="0.35">
      <c r="F204" s="37"/>
      <c r="G204" s="37"/>
      <c r="H204" s="37"/>
      <c r="I204" s="35"/>
      <c r="J204" s="35"/>
      <c r="K204" s="30"/>
    </row>
    <row r="205" spans="2:16" x14ac:dyDescent="0.35">
      <c r="F205" s="37"/>
      <c r="G205" s="37"/>
      <c r="H205" s="37"/>
      <c r="I205" s="35"/>
      <c r="J205" s="35"/>
      <c r="K205" s="30"/>
    </row>
    <row r="206" spans="2:16" x14ac:dyDescent="0.35">
      <c r="F206" s="37"/>
      <c r="G206" s="37"/>
      <c r="H206" s="37"/>
      <c r="I206" s="35"/>
      <c r="J206" s="35"/>
      <c r="K206" s="30"/>
    </row>
    <row r="207" spans="2:16" x14ac:dyDescent="0.35">
      <c r="F207" s="37"/>
      <c r="G207" s="37"/>
      <c r="H207" s="37"/>
      <c r="I207" s="35"/>
      <c r="J207" s="35"/>
      <c r="K207" s="30"/>
    </row>
    <row r="208" spans="2:16" x14ac:dyDescent="0.35">
      <c r="F208" s="37"/>
      <c r="G208" s="37"/>
      <c r="H208" s="37"/>
      <c r="I208" s="35"/>
      <c r="J208" s="35"/>
      <c r="K208" s="30"/>
    </row>
    <row r="209" spans="6:16" x14ac:dyDescent="0.35">
      <c r="F209" s="37"/>
      <c r="G209" s="37"/>
      <c r="H209" s="37"/>
      <c r="I209" s="35"/>
      <c r="J209" s="35"/>
      <c r="K209" s="30"/>
    </row>
    <row r="210" spans="6:16" x14ac:dyDescent="0.35">
      <c r="F210" s="37"/>
      <c r="G210" s="37"/>
      <c r="H210" s="37"/>
      <c r="I210" s="35"/>
      <c r="J210" s="35"/>
      <c r="K210" s="30"/>
    </row>
    <row r="211" spans="6:16" x14ac:dyDescent="0.35">
      <c r="F211" s="37"/>
      <c r="G211" s="37"/>
      <c r="H211" s="37"/>
      <c r="I211" s="35"/>
      <c r="J211" s="35"/>
      <c r="K211" s="30"/>
    </row>
    <row r="212" spans="6:16" x14ac:dyDescent="0.35">
      <c r="F212" s="37"/>
      <c r="G212" s="37"/>
      <c r="H212" s="37"/>
      <c r="I212" s="35"/>
      <c r="J212" s="35"/>
      <c r="K212" s="30"/>
    </row>
    <row r="213" spans="6:16" x14ac:dyDescent="0.35">
      <c r="F213" s="37"/>
      <c r="G213" s="37"/>
      <c r="H213" s="37"/>
      <c r="I213" s="35"/>
      <c r="J213" s="35"/>
      <c r="K213" s="30"/>
    </row>
    <row r="214" spans="6:16" x14ac:dyDescent="0.35">
      <c r="F214" s="37"/>
      <c r="G214" s="37"/>
      <c r="H214" s="37"/>
      <c r="I214" s="35"/>
      <c r="J214" s="35"/>
      <c r="K214" s="30"/>
      <c r="L214" s="30"/>
      <c r="M214" s="30"/>
      <c r="N214" s="30"/>
      <c r="O214" s="30"/>
      <c r="P214" s="30"/>
    </row>
  </sheetData>
  <sheetProtection algorithmName="SHA-512" hashValue="Hrl8xMWiGm6NJzH50at3KTI1LhQ+sWOcTwLZxpyZycFwFrpyhhcX+//rVBgbZJtVQpF+aphq717FNZLkp86MVw==" saltValue="6CAvOY/Z6lGWGxZNQrVDJQ==" spinCount="100000" sheet="1" objects="1" scenarios="1"/>
  <mergeCells count="1">
    <mergeCell ref="B2:P4"/>
  </mergeCells>
  <phoneticPr fontId="30" type="noConversion"/>
  <dataValidations count="1">
    <dataValidation allowBlank="1" showInputMessage="1" showErrorMessage="1" prompt="This value is dependent on the rainfall volume." sqref="I147:J149 I143:J143"/>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21"/>
  <sheetViews>
    <sheetView showRowColHeaders="0" topLeftCell="A13" zoomScaleNormal="100" workbookViewId="0">
      <selection activeCell="B36" sqref="B36:M36"/>
    </sheetView>
  </sheetViews>
  <sheetFormatPr defaultColWidth="9.1796875" defaultRowHeight="14.5" x14ac:dyDescent="0.35"/>
  <cols>
    <col min="1" max="13" width="9.1796875" style="137"/>
    <col min="14" max="14" width="1.7265625" style="137" customWidth="1"/>
    <col min="15" max="16384" width="9.1796875" style="137"/>
  </cols>
  <sheetData>
    <row r="2" spans="2:14" ht="15" thickBot="1" x14ac:dyDescent="0.4"/>
    <row r="3" spans="2:14" ht="15.75" customHeight="1" thickTop="1" x14ac:dyDescent="0.35">
      <c r="B3" s="218" t="s">
        <v>1</v>
      </c>
      <c r="C3" s="219"/>
      <c r="D3" s="219"/>
      <c r="E3" s="219"/>
      <c r="F3" s="219"/>
      <c r="G3" s="219"/>
      <c r="H3" s="219"/>
      <c r="I3" s="219"/>
      <c r="J3" s="219"/>
      <c r="K3" s="219"/>
      <c r="L3" s="219"/>
      <c r="M3" s="219"/>
      <c r="N3" s="220"/>
    </row>
    <row r="4" spans="2:14" ht="15" customHeight="1" x14ac:dyDescent="0.35">
      <c r="B4" s="221"/>
      <c r="C4" s="222"/>
      <c r="D4" s="222"/>
      <c r="E4" s="222"/>
      <c r="F4" s="222"/>
      <c r="G4" s="222"/>
      <c r="H4" s="222"/>
      <c r="I4" s="222"/>
      <c r="J4" s="222"/>
      <c r="K4" s="222"/>
      <c r="L4" s="222"/>
      <c r="M4" s="222"/>
      <c r="N4" s="223"/>
    </row>
    <row r="5" spans="2:14" ht="15" customHeight="1" x14ac:dyDescent="0.35">
      <c r="B5" s="221"/>
      <c r="C5" s="222"/>
      <c r="D5" s="222"/>
      <c r="E5" s="222"/>
      <c r="F5" s="222"/>
      <c r="G5" s="222"/>
      <c r="H5" s="222"/>
      <c r="I5" s="222"/>
      <c r="J5" s="222"/>
      <c r="K5" s="222"/>
      <c r="L5" s="222"/>
      <c r="M5" s="222"/>
      <c r="N5" s="223"/>
    </row>
    <row r="6" spans="2:14" ht="8.25" customHeight="1" x14ac:dyDescent="0.35">
      <c r="B6" s="132"/>
      <c r="C6" s="1"/>
      <c r="D6" s="1"/>
      <c r="E6" s="1"/>
      <c r="F6" s="1"/>
      <c r="G6" s="1"/>
      <c r="H6" s="1"/>
      <c r="I6" s="1"/>
      <c r="J6" s="1"/>
      <c r="K6" s="1"/>
      <c r="L6" s="1"/>
      <c r="M6" s="1"/>
      <c r="N6" s="122"/>
    </row>
    <row r="7" spans="2:14" ht="56.25" customHeight="1" x14ac:dyDescent="0.35">
      <c r="B7" s="224" t="s">
        <v>2</v>
      </c>
      <c r="C7" s="225"/>
      <c r="D7" s="225"/>
      <c r="E7" s="225"/>
      <c r="F7" s="225"/>
      <c r="G7" s="225"/>
      <c r="H7" s="225"/>
      <c r="I7" s="225"/>
      <c r="J7" s="225"/>
      <c r="K7" s="225"/>
      <c r="L7" s="225"/>
      <c r="M7" s="225"/>
      <c r="N7" s="122"/>
    </row>
    <row r="8" spans="2:14" ht="59.25" customHeight="1" x14ac:dyDescent="0.35">
      <c r="B8" s="226" t="s">
        <v>3</v>
      </c>
      <c r="C8" s="227"/>
      <c r="D8" s="227"/>
      <c r="E8" s="227"/>
      <c r="F8" s="227"/>
      <c r="G8" s="227"/>
      <c r="H8" s="227"/>
      <c r="I8" s="227"/>
      <c r="J8" s="227"/>
      <c r="K8" s="227"/>
      <c r="L8" s="227"/>
      <c r="M8" s="227"/>
      <c r="N8" s="122"/>
    </row>
    <row r="9" spans="2:14" x14ac:dyDescent="0.35">
      <c r="B9" s="133"/>
      <c r="C9" s="22"/>
      <c r="D9" s="22"/>
      <c r="E9" s="22"/>
      <c r="F9" s="22"/>
      <c r="G9" s="22"/>
      <c r="H9" s="22"/>
      <c r="I9" s="22"/>
      <c r="J9" s="22"/>
      <c r="K9" s="22"/>
      <c r="L9" s="22"/>
      <c r="M9" s="22"/>
      <c r="N9" s="122"/>
    </row>
    <row r="10" spans="2:14" x14ac:dyDescent="0.35">
      <c r="B10" s="133"/>
      <c r="C10" s="22"/>
      <c r="D10" s="22"/>
      <c r="E10" s="22"/>
      <c r="F10" s="22"/>
      <c r="G10" s="22"/>
      <c r="H10" s="22"/>
      <c r="I10" s="22"/>
      <c r="J10" s="22"/>
      <c r="K10" s="22"/>
      <c r="L10" s="22"/>
      <c r="M10" s="22"/>
      <c r="N10" s="122"/>
    </row>
    <row r="11" spans="2:14" x14ac:dyDescent="0.35">
      <c r="B11" s="133"/>
      <c r="C11" s="22"/>
      <c r="D11" s="22"/>
      <c r="E11" s="22"/>
      <c r="F11" s="22"/>
      <c r="G11" s="22"/>
      <c r="H11" s="22"/>
      <c r="I11" s="22"/>
      <c r="J11" s="22"/>
      <c r="K11" s="22"/>
      <c r="L11" s="22"/>
      <c r="M11" s="22"/>
      <c r="N11" s="122"/>
    </row>
    <row r="12" spans="2:14" x14ac:dyDescent="0.35">
      <c r="B12" s="133"/>
      <c r="C12" s="22"/>
      <c r="D12" s="22"/>
      <c r="E12" s="22"/>
      <c r="F12" s="22"/>
      <c r="G12" s="22"/>
      <c r="H12" s="22"/>
      <c r="I12" s="22"/>
      <c r="J12" s="22"/>
      <c r="K12" s="22"/>
      <c r="L12" s="22"/>
      <c r="M12" s="22"/>
      <c r="N12" s="122"/>
    </row>
    <row r="13" spans="2:14" x14ac:dyDescent="0.35">
      <c r="B13" s="133"/>
      <c r="C13" s="22"/>
      <c r="D13" s="22"/>
      <c r="E13" s="22"/>
      <c r="F13" s="22"/>
      <c r="G13" s="22"/>
      <c r="H13" s="22"/>
      <c r="I13" s="22"/>
      <c r="J13" s="22"/>
      <c r="K13" s="22"/>
      <c r="L13" s="22"/>
      <c r="M13" s="22"/>
      <c r="N13" s="122"/>
    </row>
    <row r="14" spans="2:14" x14ac:dyDescent="0.35">
      <c r="B14" s="133"/>
      <c r="C14" s="22"/>
      <c r="D14" s="22"/>
      <c r="E14" s="22"/>
      <c r="F14" s="22"/>
      <c r="G14" s="22"/>
      <c r="H14" s="22"/>
      <c r="I14" s="22"/>
      <c r="J14" s="22"/>
      <c r="K14" s="22"/>
      <c r="L14" s="22"/>
      <c r="M14" s="22"/>
      <c r="N14" s="122"/>
    </row>
    <row r="15" spans="2:14" x14ac:dyDescent="0.35">
      <c r="B15" s="133"/>
      <c r="C15" s="22"/>
      <c r="D15" s="22"/>
      <c r="E15" s="22"/>
      <c r="F15" s="22"/>
      <c r="G15" s="22"/>
      <c r="H15" s="22"/>
      <c r="I15" s="22"/>
      <c r="J15" s="22"/>
      <c r="K15" s="22"/>
      <c r="L15" s="22"/>
      <c r="M15" s="22"/>
      <c r="N15" s="122"/>
    </row>
    <row r="16" spans="2:14" x14ac:dyDescent="0.35">
      <c r="B16" s="133"/>
      <c r="C16" s="22"/>
      <c r="D16" s="22"/>
      <c r="E16" s="22"/>
      <c r="F16" s="22"/>
      <c r="G16" s="22"/>
      <c r="H16" s="22"/>
      <c r="I16" s="22"/>
      <c r="J16" s="22"/>
      <c r="K16" s="22"/>
      <c r="L16" s="22"/>
      <c r="M16" s="22"/>
      <c r="N16" s="122"/>
    </row>
    <row r="17" spans="2:14" x14ac:dyDescent="0.35">
      <c r="B17" s="133"/>
      <c r="C17" s="22"/>
      <c r="D17" s="22"/>
      <c r="E17" s="22"/>
      <c r="F17" s="22"/>
      <c r="G17" s="22"/>
      <c r="H17" s="22"/>
      <c r="I17" s="22"/>
      <c r="J17" s="22"/>
      <c r="K17" s="22"/>
      <c r="L17" s="22"/>
      <c r="M17" s="22"/>
      <c r="N17" s="122"/>
    </row>
    <row r="18" spans="2:14" x14ac:dyDescent="0.35">
      <c r="B18" s="133"/>
      <c r="C18" s="22"/>
      <c r="D18" s="22"/>
      <c r="E18" s="22"/>
      <c r="F18" s="22"/>
      <c r="G18" s="22"/>
      <c r="H18" s="22"/>
      <c r="I18" s="22"/>
      <c r="J18" s="22"/>
      <c r="K18" s="22"/>
      <c r="L18" s="22"/>
      <c r="M18" s="22"/>
      <c r="N18" s="122"/>
    </row>
    <row r="19" spans="2:14" x14ac:dyDescent="0.35">
      <c r="B19" s="133"/>
      <c r="C19" s="22"/>
      <c r="D19" s="22"/>
      <c r="E19" s="22"/>
      <c r="F19" s="22"/>
      <c r="G19" s="22"/>
      <c r="H19" s="22"/>
      <c r="I19" s="22"/>
      <c r="J19" s="22"/>
      <c r="K19" s="22"/>
      <c r="L19" s="22"/>
      <c r="M19" s="22"/>
      <c r="N19" s="122"/>
    </row>
    <row r="20" spans="2:14" x14ac:dyDescent="0.35">
      <c r="B20" s="133"/>
      <c r="C20" s="22"/>
      <c r="D20" s="22"/>
      <c r="E20" s="22"/>
      <c r="F20" s="22"/>
      <c r="G20" s="22"/>
      <c r="H20" s="22"/>
      <c r="I20" s="22"/>
      <c r="J20" s="22"/>
      <c r="K20" s="22"/>
      <c r="L20" s="22"/>
      <c r="M20" s="22"/>
      <c r="N20" s="122"/>
    </row>
    <row r="21" spans="2:14" x14ac:dyDescent="0.35">
      <c r="B21" s="133"/>
      <c r="C21" s="22"/>
      <c r="D21" s="22"/>
      <c r="E21" s="22"/>
      <c r="F21" s="22"/>
      <c r="G21" s="22"/>
      <c r="H21" s="22"/>
      <c r="I21" s="22"/>
      <c r="J21" s="22"/>
      <c r="K21" s="22"/>
      <c r="L21" s="22"/>
      <c r="M21" s="22"/>
      <c r="N21" s="122"/>
    </row>
    <row r="22" spans="2:14" x14ac:dyDescent="0.35">
      <c r="B22" s="133"/>
      <c r="C22" s="22"/>
      <c r="D22" s="22"/>
      <c r="E22" s="22"/>
      <c r="F22" s="22"/>
      <c r="G22" s="22"/>
      <c r="H22" s="22"/>
      <c r="I22" s="22"/>
      <c r="J22" s="22"/>
      <c r="K22" s="22"/>
      <c r="L22" s="22"/>
      <c r="M22" s="22"/>
      <c r="N22" s="122"/>
    </row>
    <row r="23" spans="2:14" x14ac:dyDescent="0.35">
      <c r="B23" s="133"/>
      <c r="C23" s="22"/>
      <c r="D23" s="22"/>
      <c r="E23" s="22"/>
      <c r="F23" s="22"/>
      <c r="G23" s="22"/>
      <c r="H23" s="22"/>
      <c r="I23" s="22"/>
      <c r="J23" s="22"/>
      <c r="K23" s="22"/>
      <c r="L23" s="22"/>
      <c r="M23" s="22"/>
      <c r="N23" s="122"/>
    </row>
    <row r="24" spans="2:14" x14ac:dyDescent="0.35">
      <c r="B24" s="133"/>
      <c r="C24" s="22"/>
      <c r="D24" s="22"/>
      <c r="E24" s="22"/>
      <c r="F24" s="22"/>
      <c r="G24" s="22"/>
      <c r="H24" s="22"/>
      <c r="I24" s="22"/>
      <c r="J24" s="22"/>
      <c r="K24" s="22"/>
      <c r="L24" s="22"/>
      <c r="M24" s="22"/>
      <c r="N24" s="122"/>
    </row>
    <row r="25" spans="2:14" x14ac:dyDescent="0.35">
      <c r="B25" s="133"/>
      <c r="C25" s="22"/>
      <c r="D25" s="22"/>
      <c r="E25" s="22"/>
      <c r="F25" s="22"/>
      <c r="G25" s="22"/>
      <c r="H25" s="22"/>
      <c r="I25" s="22"/>
      <c r="J25" s="22"/>
      <c r="K25" s="22"/>
      <c r="L25" s="22"/>
      <c r="M25" s="22"/>
      <c r="N25" s="122"/>
    </row>
    <row r="26" spans="2:14" x14ac:dyDescent="0.35">
      <c r="B26" s="133"/>
      <c r="C26" s="22"/>
      <c r="D26" s="22"/>
      <c r="E26" s="22"/>
      <c r="F26" s="22"/>
      <c r="G26" s="22"/>
      <c r="H26" s="22"/>
      <c r="I26" s="22"/>
      <c r="J26" s="22"/>
      <c r="K26" s="22"/>
      <c r="L26" s="22"/>
      <c r="M26" s="22"/>
      <c r="N26" s="122"/>
    </row>
    <row r="27" spans="2:14" x14ac:dyDescent="0.35">
      <c r="B27" s="133"/>
      <c r="C27" s="22"/>
      <c r="D27" s="22"/>
      <c r="E27" s="22"/>
      <c r="F27" s="22"/>
      <c r="G27" s="22"/>
      <c r="H27" s="22"/>
      <c r="I27" s="22"/>
      <c r="J27" s="22"/>
      <c r="K27" s="22"/>
      <c r="L27" s="22"/>
      <c r="M27" s="22"/>
      <c r="N27" s="122"/>
    </row>
    <row r="28" spans="2:14" x14ac:dyDescent="0.35">
      <c r="B28" s="133"/>
      <c r="C28" s="22"/>
      <c r="D28" s="22"/>
      <c r="E28" s="22"/>
      <c r="F28" s="22"/>
      <c r="G28" s="22"/>
      <c r="H28" s="22"/>
      <c r="I28" s="22"/>
      <c r="J28" s="22"/>
      <c r="K28" s="22"/>
      <c r="L28" s="22"/>
      <c r="M28" s="22"/>
      <c r="N28" s="122"/>
    </row>
    <row r="29" spans="2:14" x14ac:dyDescent="0.35">
      <c r="B29" s="133"/>
      <c r="C29" s="22"/>
      <c r="D29" s="22"/>
      <c r="E29" s="22"/>
      <c r="F29" s="22"/>
      <c r="G29" s="22"/>
      <c r="H29" s="22"/>
      <c r="I29" s="22"/>
      <c r="J29" s="22"/>
      <c r="K29" s="22"/>
      <c r="L29" s="22"/>
      <c r="M29" s="22"/>
      <c r="N29" s="122"/>
    </row>
    <row r="30" spans="2:14" x14ac:dyDescent="0.35">
      <c r="B30" s="133"/>
      <c r="C30" s="22"/>
      <c r="D30" s="22"/>
      <c r="E30" s="22"/>
      <c r="F30" s="22"/>
      <c r="G30" s="22"/>
      <c r="H30" s="22"/>
      <c r="I30" s="22"/>
      <c r="J30" s="22"/>
      <c r="K30" s="22"/>
      <c r="L30" s="22"/>
      <c r="M30" s="22"/>
      <c r="N30" s="122"/>
    </row>
    <row r="31" spans="2:14" x14ac:dyDescent="0.35">
      <c r="B31" s="133"/>
      <c r="C31" s="22"/>
      <c r="D31" s="22"/>
      <c r="E31" s="22"/>
      <c r="F31" s="22"/>
      <c r="G31" s="22"/>
      <c r="H31" s="22"/>
      <c r="I31" s="22"/>
      <c r="J31" s="22"/>
      <c r="K31" s="22"/>
      <c r="L31" s="22"/>
      <c r="M31" s="22"/>
      <c r="N31" s="122"/>
    </row>
    <row r="32" spans="2:14" x14ac:dyDescent="0.35">
      <c r="B32" s="133"/>
      <c r="C32" s="22"/>
      <c r="D32" s="22"/>
      <c r="E32" s="22"/>
      <c r="F32" s="22"/>
      <c r="G32" s="22"/>
      <c r="H32" s="22"/>
      <c r="I32" s="22"/>
      <c r="J32" s="22"/>
      <c r="K32" s="22"/>
      <c r="L32" s="22"/>
      <c r="M32" s="22"/>
      <c r="N32" s="122"/>
    </row>
    <row r="33" spans="2:14" x14ac:dyDescent="0.35">
      <c r="B33" s="133"/>
      <c r="C33" s="22"/>
      <c r="D33" s="22"/>
      <c r="E33" s="22"/>
      <c r="F33" s="22"/>
      <c r="G33" s="22"/>
      <c r="H33" s="22"/>
      <c r="I33" s="22"/>
      <c r="J33" s="22"/>
      <c r="K33" s="22"/>
      <c r="L33" s="22"/>
      <c r="M33" s="22"/>
      <c r="N33" s="122"/>
    </row>
    <row r="34" spans="2:14" ht="57.75" customHeight="1" x14ac:dyDescent="0.35">
      <c r="B34" s="226" t="s">
        <v>4</v>
      </c>
      <c r="C34" s="227"/>
      <c r="D34" s="227"/>
      <c r="E34" s="227"/>
      <c r="F34" s="227"/>
      <c r="G34" s="227"/>
      <c r="H34" s="227"/>
      <c r="I34" s="227"/>
      <c r="J34" s="227"/>
      <c r="K34" s="227"/>
      <c r="L34" s="227"/>
      <c r="M34" s="227"/>
      <c r="N34" s="122"/>
    </row>
    <row r="35" spans="2:14" ht="60" customHeight="1" x14ac:dyDescent="0.35">
      <c r="B35" s="224" t="s">
        <v>5</v>
      </c>
      <c r="C35" s="225"/>
      <c r="D35" s="225"/>
      <c r="E35" s="225"/>
      <c r="F35" s="225"/>
      <c r="G35" s="225"/>
      <c r="H35" s="225"/>
      <c r="I35" s="225"/>
      <c r="J35" s="225"/>
      <c r="K35" s="225"/>
      <c r="L35" s="225"/>
      <c r="M35" s="225"/>
      <c r="N35" s="122"/>
    </row>
    <row r="36" spans="2:14" ht="81.75" customHeight="1" thickBot="1" x14ac:dyDescent="0.4">
      <c r="B36" s="216" t="s">
        <v>6</v>
      </c>
      <c r="C36" s="217"/>
      <c r="D36" s="217"/>
      <c r="E36" s="217"/>
      <c r="F36" s="217"/>
      <c r="G36" s="217"/>
      <c r="H36" s="217"/>
      <c r="I36" s="217"/>
      <c r="J36" s="217"/>
      <c r="K36" s="217"/>
      <c r="L36" s="217"/>
      <c r="M36" s="217"/>
      <c r="N36" s="136"/>
    </row>
    <row r="37" spans="2:14" ht="15" thickTop="1" x14ac:dyDescent="0.35">
      <c r="B37" s="30"/>
      <c r="C37" s="30"/>
      <c r="D37" s="30"/>
      <c r="E37" s="30"/>
      <c r="F37" s="30"/>
      <c r="G37" s="30"/>
      <c r="H37" s="30"/>
      <c r="I37" s="30"/>
      <c r="J37" s="30"/>
      <c r="K37" s="30"/>
      <c r="L37" s="30"/>
      <c r="M37" s="30"/>
    </row>
    <row r="38" spans="2:14" x14ac:dyDescent="0.35">
      <c r="B38" s="30"/>
      <c r="C38" s="30"/>
      <c r="D38" s="30"/>
      <c r="E38" s="30"/>
      <c r="F38" s="30"/>
      <c r="G38" s="30"/>
      <c r="H38" s="30"/>
      <c r="I38" s="30"/>
      <c r="J38" s="30"/>
      <c r="K38" s="30"/>
      <c r="L38" s="30"/>
      <c r="M38" s="30"/>
    </row>
    <row r="39" spans="2:14" x14ac:dyDescent="0.35">
      <c r="B39" s="30"/>
      <c r="C39" s="30"/>
      <c r="D39" s="30"/>
      <c r="E39" s="30"/>
      <c r="F39" s="30"/>
      <c r="G39" s="30"/>
      <c r="H39" s="30"/>
      <c r="I39" s="30"/>
      <c r="J39" s="30"/>
      <c r="K39" s="30"/>
      <c r="L39" s="30"/>
      <c r="M39" s="30"/>
    </row>
    <row r="40" spans="2:14" x14ac:dyDescent="0.35">
      <c r="B40" s="30"/>
      <c r="C40" s="30"/>
      <c r="D40" s="30"/>
      <c r="E40" s="30"/>
      <c r="F40" s="30"/>
      <c r="G40" s="30"/>
      <c r="H40" s="30"/>
      <c r="I40" s="30"/>
      <c r="J40" s="30"/>
      <c r="K40" s="30"/>
      <c r="L40" s="30"/>
      <c r="M40" s="30"/>
    </row>
    <row r="41" spans="2:14" x14ac:dyDescent="0.35">
      <c r="B41" s="30"/>
      <c r="C41" s="30"/>
      <c r="D41" s="30"/>
      <c r="E41" s="30"/>
      <c r="F41" s="30"/>
      <c r="G41" s="30"/>
      <c r="H41" s="30"/>
      <c r="I41" s="30"/>
      <c r="J41" s="30"/>
      <c r="K41" s="30"/>
      <c r="L41" s="30"/>
      <c r="M41" s="30"/>
    </row>
    <row r="42" spans="2:14" x14ac:dyDescent="0.35">
      <c r="B42" s="30"/>
      <c r="C42" s="30"/>
      <c r="D42" s="30"/>
      <c r="E42" s="30"/>
      <c r="F42" s="30"/>
      <c r="G42" s="30"/>
      <c r="H42" s="30"/>
      <c r="I42" s="30"/>
      <c r="J42" s="30"/>
      <c r="K42" s="30"/>
      <c r="L42" s="30"/>
      <c r="M42" s="30"/>
    </row>
    <row r="43" spans="2:14" x14ac:dyDescent="0.35">
      <c r="B43" s="30"/>
      <c r="C43" s="30"/>
      <c r="D43" s="30"/>
      <c r="E43" s="30"/>
      <c r="F43" s="30"/>
      <c r="G43" s="30"/>
      <c r="H43" s="30"/>
      <c r="I43" s="30"/>
      <c r="J43" s="30"/>
      <c r="K43" s="30"/>
      <c r="L43" s="30"/>
      <c r="M43" s="30"/>
    </row>
    <row r="44" spans="2:14" x14ac:dyDescent="0.35">
      <c r="B44" s="30"/>
      <c r="C44" s="30"/>
      <c r="D44" s="30"/>
      <c r="E44" s="30"/>
      <c r="F44" s="30"/>
      <c r="G44" s="30"/>
      <c r="H44" s="30"/>
      <c r="I44" s="30"/>
      <c r="J44" s="30"/>
      <c r="K44" s="30"/>
      <c r="L44" s="30"/>
      <c r="M44" s="30"/>
    </row>
    <row r="45" spans="2:14" x14ac:dyDescent="0.35">
      <c r="B45" s="30"/>
      <c r="C45" s="30"/>
      <c r="D45" s="30"/>
      <c r="E45" s="30"/>
      <c r="F45" s="30"/>
      <c r="G45" s="30"/>
      <c r="H45" s="30"/>
      <c r="I45" s="30"/>
      <c r="J45" s="30"/>
      <c r="K45" s="30"/>
      <c r="L45" s="30"/>
      <c r="M45" s="30"/>
    </row>
    <row r="46" spans="2:14" x14ac:dyDescent="0.35">
      <c r="B46" s="30"/>
      <c r="C46" s="30"/>
      <c r="D46" s="30"/>
      <c r="E46" s="30"/>
      <c r="F46" s="30"/>
      <c r="G46" s="30"/>
      <c r="H46" s="30"/>
      <c r="I46" s="30"/>
      <c r="J46" s="30"/>
      <c r="K46" s="30"/>
      <c r="L46" s="30"/>
      <c r="M46" s="30"/>
    </row>
    <row r="47" spans="2:14" x14ac:dyDescent="0.35">
      <c r="B47" s="30"/>
      <c r="C47" s="30"/>
      <c r="D47" s="30"/>
      <c r="E47" s="30"/>
      <c r="F47" s="30"/>
      <c r="G47" s="30"/>
      <c r="H47" s="30"/>
      <c r="I47" s="30"/>
      <c r="J47" s="30"/>
      <c r="K47" s="30"/>
      <c r="L47" s="30"/>
      <c r="M47" s="30"/>
    </row>
    <row r="48" spans="2:14" x14ac:dyDescent="0.35">
      <c r="B48" s="30"/>
      <c r="C48" s="30"/>
      <c r="D48" s="30"/>
      <c r="E48" s="30"/>
      <c r="F48" s="30"/>
      <c r="G48" s="30"/>
      <c r="H48" s="30"/>
      <c r="I48" s="30"/>
      <c r="J48" s="30"/>
      <c r="K48" s="30"/>
      <c r="L48" s="30"/>
      <c r="M48" s="30"/>
    </row>
    <row r="49" spans="2:13" x14ac:dyDescent="0.35">
      <c r="B49" s="30"/>
      <c r="C49" s="30"/>
      <c r="D49" s="30"/>
      <c r="E49" s="30"/>
      <c r="F49" s="30"/>
      <c r="G49" s="30"/>
      <c r="H49" s="30"/>
      <c r="I49" s="30"/>
      <c r="J49" s="30"/>
      <c r="K49" s="30"/>
      <c r="L49" s="30"/>
      <c r="M49" s="30"/>
    </row>
    <row r="50" spans="2:13" x14ac:dyDescent="0.35">
      <c r="B50" s="30"/>
      <c r="C50" s="30"/>
      <c r="D50" s="30"/>
      <c r="E50" s="30"/>
      <c r="F50" s="30"/>
      <c r="G50" s="30"/>
      <c r="H50" s="30"/>
      <c r="I50" s="30"/>
      <c r="J50" s="30"/>
      <c r="K50" s="30"/>
      <c r="L50" s="30"/>
      <c r="M50" s="30"/>
    </row>
    <row r="51" spans="2:13" x14ac:dyDescent="0.35">
      <c r="B51" s="30"/>
      <c r="C51" s="30"/>
      <c r="D51" s="30"/>
      <c r="E51" s="30"/>
      <c r="F51" s="30"/>
      <c r="G51" s="30"/>
      <c r="H51" s="30"/>
      <c r="I51" s="30"/>
      <c r="J51" s="30"/>
      <c r="K51" s="30"/>
      <c r="L51" s="30"/>
      <c r="M51" s="30"/>
    </row>
    <row r="52" spans="2:13" x14ac:dyDescent="0.35">
      <c r="B52" s="30"/>
      <c r="C52" s="30"/>
      <c r="D52" s="30"/>
      <c r="E52" s="30"/>
      <c r="F52" s="30"/>
      <c r="G52" s="30"/>
      <c r="H52" s="30"/>
      <c r="I52" s="30"/>
      <c r="J52" s="30"/>
      <c r="K52" s="30"/>
      <c r="L52" s="30"/>
      <c r="M52" s="30"/>
    </row>
    <row r="53" spans="2:13" x14ac:dyDescent="0.35">
      <c r="B53" s="30"/>
      <c r="C53" s="30"/>
      <c r="D53" s="30"/>
      <c r="E53" s="30"/>
      <c r="F53" s="30"/>
      <c r="G53" s="30"/>
      <c r="H53" s="30"/>
      <c r="I53" s="30"/>
      <c r="J53" s="30"/>
      <c r="K53" s="30"/>
      <c r="L53" s="30"/>
      <c r="M53" s="30"/>
    </row>
    <row r="54" spans="2:13" x14ac:dyDescent="0.35">
      <c r="B54" s="30"/>
      <c r="C54" s="30"/>
      <c r="D54" s="30"/>
      <c r="E54" s="30"/>
      <c r="F54" s="30"/>
      <c r="G54" s="30"/>
      <c r="H54" s="30"/>
      <c r="I54" s="30"/>
      <c r="J54" s="30"/>
      <c r="K54" s="30"/>
      <c r="L54" s="30"/>
      <c r="M54" s="30"/>
    </row>
    <row r="55" spans="2:13" x14ac:dyDescent="0.35">
      <c r="B55" s="30"/>
      <c r="C55" s="30"/>
      <c r="D55" s="30"/>
      <c r="E55" s="30"/>
      <c r="F55" s="30"/>
      <c r="G55" s="30"/>
      <c r="H55" s="30"/>
      <c r="I55" s="30"/>
      <c r="J55" s="30"/>
      <c r="K55" s="30"/>
      <c r="L55" s="30"/>
      <c r="M55" s="30"/>
    </row>
    <row r="56" spans="2:13" x14ac:dyDescent="0.35">
      <c r="B56" s="30"/>
      <c r="C56" s="30"/>
      <c r="D56" s="30"/>
      <c r="E56" s="30"/>
      <c r="F56" s="30"/>
      <c r="G56" s="30"/>
      <c r="H56" s="30"/>
      <c r="I56" s="30"/>
      <c r="J56" s="30"/>
      <c r="K56" s="30"/>
      <c r="L56" s="30"/>
      <c r="M56" s="30"/>
    </row>
    <row r="57" spans="2:13" x14ac:dyDescent="0.35">
      <c r="B57" s="30"/>
      <c r="C57" s="30"/>
      <c r="D57" s="30"/>
      <c r="E57" s="30"/>
      <c r="F57" s="30"/>
      <c r="G57" s="30"/>
      <c r="H57" s="30"/>
      <c r="I57" s="30"/>
      <c r="J57" s="30"/>
      <c r="K57" s="30"/>
      <c r="L57" s="30"/>
      <c r="M57" s="30"/>
    </row>
    <row r="58" spans="2:13" x14ac:dyDescent="0.35">
      <c r="B58" s="30"/>
      <c r="C58" s="30"/>
      <c r="D58" s="30"/>
      <c r="E58" s="30"/>
      <c r="F58" s="30"/>
      <c r="G58" s="30"/>
      <c r="H58" s="30"/>
      <c r="I58" s="30"/>
      <c r="J58" s="30"/>
      <c r="K58" s="30"/>
      <c r="L58" s="30"/>
      <c r="M58" s="30"/>
    </row>
    <row r="59" spans="2:13" x14ac:dyDescent="0.35">
      <c r="B59" s="30"/>
      <c r="C59" s="30"/>
      <c r="D59" s="30"/>
      <c r="E59" s="30"/>
      <c r="F59" s="30"/>
      <c r="G59" s="30"/>
      <c r="H59" s="30"/>
      <c r="I59" s="30"/>
      <c r="J59" s="30"/>
      <c r="K59" s="30"/>
      <c r="L59" s="30"/>
      <c r="M59" s="30"/>
    </row>
    <row r="60" spans="2:13" x14ac:dyDescent="0.35">
      <c r="B60" s="30"/>
      <c r="C60" s="30"/>
      <c r="D60" s="30"/>
      <c r="E60" s="30"/>
      <c r="F60" s="30"/>
      <c r="G60" s="30"/>
      <c r="H60" s="30"/>
      <c r="I60" s="30"/>
      <c r="J60" s="30"/>
      <c r="K60" s="30"/>
      <c r="L60" s="30"/>
      <c r="M60" s="30"/>
    </row>
    <row r="61" spans="2:13" x14ac:dyDescent="0.35">
      <c r="B61" s="30"/>
      <c r="C61" s="30"/>
      <c r="D61" s="30"/>
      <c r="E61" s="30"/>
      <c r="F61" s="30"/>
      <c r="G61" s="30"/>
      <c r="H61" s="30"/>
      <c r="I61" s="30"/>
      <c r="J61" s="30"/>
      <c r="K61" s="30"/>
      <c r="L61" s="30"/>
      <c r="M61" s="30"/>
    </row>
    <row r="62" spans="2:13" x14ac:dyDescent="0.35">
      <c r="B62" s="30"/>
      <c r="C62" s="30"/>
      <c r="D62" s="30"/>
      <c r="E62" s="30"/>
      <c r="F62" s="30"/>
      <c r="G62" s="30"/>
      <c r="H62" s="30"/>
      <c r="I62" s="30"/>
      <c r="J62" s="30"/>
      <c r="K62" s="30"/>
      <c r="L62" s="30"/>
      <c r="M62" s="30"/>
    </row>
    <row r="63" spans="2:13" x14ac:dyDescent="0.35">
      <c r="B63" s="30"/>
      <c r="C63" s="30"/>
      <c r="D63" s="30"/>
      <c r="E63" s="30"/>
      <c r="F63" s="30"/>
      <c r="G63" s="30"/>
      <c r="H63" s="30"/>
      <c r="I63" s="30"/>
      <c r="J63" s="30"/>
      <c r="K63" s="30"/>
      <c r="L63" s="30"/>
      <c r="M63" s="30"/>
    </row>
    <row r="64" spans="2:13" x14ac:dyDescent="0.35">
      <c r="B64" s="30"/>
      <c r="C64" s="30"/>
      <c r="D64" s="30"/>
      <c r="E64" s="30"/>
      <c r="F64" s="30"/>
      <c r="G64" s="30"/>
      <c r="H64" s="30"/>
      <c r="I64" s="30"/>
      <c r="J64" s="30"/>
      <c r="K64" s="30"/>
      <c r="L64" s="30"/>
      <c r="M64" s="30"/>
    </row>
    <row r="65" spans="2:13" x14ac:dyDescent="0.35">
      <c r="B65" s="30"/>
      <c r="C65" s="30"/>
      <c r="D65" s="30"/>
      <c r="E65" s="30"/>
      <c r="F65" s="30"/>
      <c r="G65" s="30"/>
      <c r="H65" s="30"/>
      <c r="I65" s="30"/>
      <c r="J65" s="30"/>
      <c r="K65" s="30"/>
      <c r="L65" s="30"/>
      <c r="M65" s="30"/>
    </row>
    <row r="66" spans="2:13" x14ac:dyDescent="0.35">
      <c r="B66" s="30"/>
      <c r="C66" s="30"/>
      <c r="D66" s="30"/>
      <c r="E66" s="30"/>
      <c r="F66" s="30"/>
      <c r="G66" s="30"/>
      <c r="H66" s="30"/>
      <c r="I66" s="30"/>
      <c r="J66" s="30"/>
      <c r="K66" s="30"/>
      <c r="L66" s="30"/>
      <c r="M66" s="30"/>
    </row>
    <row r="67" spans="2:13" x14ac:dyDescent="0.35">
      <c r="B67" s="30"/>
      <c r="C67" s="30"/>
      <c r="D67" s="30"/>
      <c r="E67" s="30"/>
      <c r="F67" s="30"/>
      <c r="G67" s="30"/>
      <c r="H67" s="30"/>
      <c r="I67" s="30"/>
      <c r="J67" s="30"/>
      <c r="K67" s="30"/>
      <c r="L67" s="30"/>
      <c r="M67" s="30"/>
    </row>
    <row r="68" spans="2:13" x14ac:dyDescent="0.35">
      <c r="B68" s="30"/>
      <c r="C68" s="30"/>
      <c r="D68" s="30"/>
      <c r="E68" s="30"/>
      <c r="F68" s="30"/>
      <c r="G68" s="30"/>
      <c r="H68" s="30"/>
      <c r="I68" s="30"/>
      <c r="J68" s="30"/>
      <c r="K68" s="30"/>
      <c r="L68" s="30"/>
      <c r="M68" s="30"/>
    </row>
    <row r="69" spans="2:13" x14ac:dyDescent="0.35">
      <c r="B69" s="30"/>
      <c r="C69" s="30"/>
      <c r="D69" s="30"/>
      <c r="E69" s="30"/>
      <c r="F69" s="30"/>
      <c r="G69" s="30"/>
      <c r="H69" s="30"/>
      <c r="I69" s="30"/>
      <c r="J69" s="30"/>
      <c r="K69" s="30"/>
      <c r="L69" s="30"/>
      <c r="M69" s="30"/>
    </row>
    <row r="70" spans="2:13" x14ac:dyDescent="0.35">
      <c r="B70" s="30"/>
      <c r="C70" s="30"/>
      <c r="D70" s="30"/>
      <c r="E70" s="30"/>
      <c r="F70" s="30"/>
      <c r="G70" s="30"/>
      <c r="H70" s="30"/>
      <c r="I70" s="30"/>
      <c r="J70" s="30"/>
      <c r="K70" s="30"/>
      <c r="L70" s="30"/>
      <c r="M70" s="30"/>
    </row>
    <row r="71" spans="2:13" x14ac:dyDescent="0.35">
      <c r="B71" s="30"/>
      <c r="C71" s="30"/>
      <c r="D71" s="30"/>
      <c r="E71" s="30"/>
      <c r="F71" s="30"/>
      <c r="G71" s="30"/>
      <c r="H71" s="30"/>
      <c r="I71" s="30"/>
      <c r="J71" s="30"/>
      <c r="K71" s="30"/>
      <c r="L71" s="30"/>
      <c r="M71" s="30"/>
    </row>
    <row r="72" spans="2:13" x14ac:dyDescent="0.35">
      <c r="B72" s="30"/>
      <c r="C72" s="30"/>
      <c r="D72" s="30"/>
      <c r="E72" s="30"/>
      <c r="F72" s="30"/>
      <c r="G72" s="30"/>
      <c r="H72" s="30"/>
      <c r="I72" s="30"/>
      <c r="J72" s="30"/>
      <c r="K72" s="30"/>
      <c r="L72" s="30"/>
      <c r="M72" s="30"/>
    </row>
    <row r="73" spans="2:13" x14ac:dyDescent="0.35">
      <c r="B73" s="30"/>
      <c r="C73" s="30"/>
      <c r="D73" s="30"/>
      <c r="E73" s="30"/>
      <c r="F73" s="30"/>
      <c r="G73" s="30"/>
      <c r="H73" s="30"/>
      <c r="I73" s="30"/>
      <c r="J73" s="30"/>
      <c r="K73" s="30"/>
      <c r="L73" s="30"/>
      <c r="M73" s="30"/>
    </row>
    <row r="74" spans="2:13" x14ac:dyDescent="0.35">
      <c r="B74" s="30"/>
      <c r="C74" s="30"/>
      <c r="D74" s="30"/>
      <c r="E74" s="30"/>
      <c r="F74" s="30"/>
      <c r="G74" s="30"/>
      <c r="H74" s="30"/>
      <c r="I74" s="30"/>
      <c r="J74" s="30"/>
      <c r="K74" s="30"/>
      <c r="L74" s="30"/>
      <c r="M74" s="30"/>
    </row>
    <row r="75" spans="2:13" x14ac:dyDescent="0.35">
      <c r="B75" s="30"/>
      <c r="C75" s="30"/>
      <c r="D75" s="30"/>
      <c r="E75" s="30"/>
      <c r="F75" s="30"/>
      <c r="G75" s="30"/>
      <c r="H75" s="30"/>
      <c r="I75" s="30"/>
      <c r="J75" s="30"/>
      <c r="K75" s="30"/>
      <c r="L75" s="30"/>
      <c r="M75" s="30"/>
    </row>
    <row r="76" spans="2:13" x14ac:dyDescent="0.35">
      <c r="B76" s="30"/>
      <c r="C76" s="30"/>
      <c r="D76" s="30"/>
      <c r="E76" s="30"/>
      <c r="F76" s="30"/>
      <c r="G76" s="30"/>
      <c r="H76" s="30"/>
      <c r="I76" s="30"/>
      <c r="J76" s="30"/>
      <c r="K76" s="30"/>
      <c r="L76" s="30"/>
      <c r="M76" s="30"/>
    </row>
    <row r="77" spans="2:13" x14ac:dyDescent="0.35">
      <c r="B77" s="30"/>
      <c r="C77" s="30"/>
      <c r="D77" s="30"/>
      <c r="E77" s="30"/>
      <c r="F77" s="30"/>
      <c r="G77" s="30"/>
      <c r="H77" s="30"/>
      <c r="I77" s="30"/>
      <c r="J77" s="30"/>
      <c r="K77" s="30"/>
      <c r="L77" s="30"/>
      <c r="M77" s="30"/>
    </row>
    <row r="78" spans="2:13" x14ac:dyDescent="0.35">
      <c r="B78" s="30"/>
      <c r="C78" s="30"/>
      <c r="D78" s="30"/>
      <c r="E78" s="30"/>
      <c r="F78" s="30"/>
      <c r="G78" s="30"/>
      <c r="H78" s="30"/>
      <c r="I78" s="30"/>
      <c r="J78" s="30"/>
      <c r="K78" s="30"/>
      <c r="L78" s="30"/>
      <c r="M78" s="30"/>
    </row>
    <row r="79" spans="2:13" x14ac:dyDescent="0.35">
      <c r="B79" s="30"/>
      <c r="C79" s="30"/>
      <c r="D79" s="30"/>
      <c r="E79" s="30"/>
      <c r="F79" s="30"/>
      <c r="G79" s="30"/>
      <c r="H79" s="30"/>
      <c r="I79" s="30"/>
      <c r="J79" s="30"/>
      <c r="K79" s="30"/>
      <c r="L79" s="30"/>
      <c r="M79" s="30"/>
    </row>
    <row r="80" spans="2:13" x14ac:dyDescent="0.35">
      <c r="B80" s="30"/>
      <c r="C80" s="30"/>
      <c r="D80" s="30"/>
      <c r="E80" s="30"/>
      <c r="F80" s="30"/>
      <c r="G80" s="30"/>
      <c r="H80" s="30"/>
      <c r="I80" s="30"/>
      <c r="J80" s="30"/>
      <c r="K80" s="30"/>
      <c r="L80" s="30"/>
      <c r="M80" s="30"/>
    </row>
    <row r="81" spans="2:13" x14ac:dyDescent="0.35">
      <c r="B81" s="30"/>
      <c r="C81" s="30"/>
      <c r="D81" s="30"/>
      <c r="E81" s="30"/>
      <c r="F81" s="30"/>
      <c r="G81" s="30"/>
      <c r="H81" s="30"/>
      <c r="I81" s="30"/>
      <c r="J81" s="30"/>
      <c r="K81" s="30"/>
      <c r="L81" s="30"/>
      <c r="M81" s="30"/>
    </row>
    <row r="82" spans="2:13" x14ac:dyDescent="0.35">
      <c r="B82" s="30"/>
      <c r="C82" s="30"/>
      <c r="D82" s="30"/>
      <c r="E82" s="30"/>
      <c r="F82" s="30"/>
      <c r="G82" s="30"/>
      <c r="H82" s="30"/>
      <c r="I82" s="30"/>
      <c r="J82" s="30"/>
      <c r="K82" s="30"/>
      <c r="L82" s="30"/>
      <c r="M82" s="30"/>
    </row>
    <row r="83" spans="2:13" x14ac:dyDescent="0.35">
      <c r="B83" s="30"/>
      <c r="C83" s="30"/>
      <c r="D83" s="30"/>
      <c r="E83" s="30"/>
      <c r="F83" s="30"/>
      <c r="G83" s="30"/>
      <c r="H83" s="30"/>
      <c r="I83" s="30"/>
      <c r="J83" s="30"/>
      <c r="K83" s="30"/>
      <c r="L83" s="30"/>
      <c r="M83" s="30"/>
    </row>
    <row r="84" spans="2:13" x14ac:dyDescent="0.35">
      <c r="B84" s="30"/>
      <c r="C84" s="30"/>
      <c r="D84" s="30"/>
      <c r="E84" s="30"/>
      <c r="F84" s="30"/>
      <c r="G84" s="30"/>
      <c r="H84" s="30"/>
      <c r="I84" s="30"/>
      <c r="J84" s="30"/>
      <c r="K84" s="30"/>
      <c r="L84" s="30"/>
      <c r="M84" s="30"/>
    </row>
    <row r="85" spans="2:13" x14ac:dyDescent="0.35">
      <c r="B85" s="30"/>
      <c r="C85" s="30"/>
      <c r="D85" s="30"/>
      <c r="E85" s="30"/>
      <c r="F85" s="30"/>
      <c r="G85" s="30"/>
      <c r="H85" s="30"/>
      <c r="I85" s="30"/>
      <c r="J85" s="30"/>
      <c r="K85" s="30"/>
      <c r="L85" s="30"/>
      <c r="M85" s="30"/>
    </row>
    <row r="86" spans="2:13" x14ac:dyDescent="0.35">
      <c r="B86" s="30"/>
      <c r="C86" s="30"/>
      <c r="D86" s="30"/>
      <c r="E86" s="30"/>
      <c r="F86" s="30"/>
      <c r="G86" s="30"/>
      <c r="H86" s="30"/>
      <c r="I86" s="30"/>
      <c r="J86" s="30"/>
      <c r="K86" s="30"/>
      <c r="L86" s="30"/>
      <c r="M86" s="30"/>
    </row>
    <row r="87" spans="2:13" x14ac:dyDescent="0.35">
      <c r="B87" s="30"/>
      <c r="C87" s="30"/>
      <c r="D87" s="30"/>
      <c r="E87" s="30"/>
      <c r="F87" s="30"/>
      <c r="G87" s="30"/>
      <c r="H87" s="30"/>
      <c r="I87" s="30"/>
      <c r="J87" s="30"/>
      <c r="K87" s="30"/>
      <c r="L87" s="30"/>
      <c r="M87" s="30"/>
    </row>
    <row r="88" spans="2:13" x14ac:dyDescent="0.35">
      <c r="B88" s="30"/>
      <c r="C88" s="30"/>
      <c r="D88" s="30"/>
      <c r="E88" s="30"/>
      <c r="F88" s="30"/>
      <c r="G88" s="30"/>
      <c r="H88" s="30"/>
      <c r="I88" s="30"/>
      <c r="J88" s="30"/>
      <c r="K88" s="30"/>
      <c r="L88" s="30"/>
      <c r="M88" s="30"/>
    </row>
    <row r="89" spans="2:13" x14ac:dyDescent="0.35">
      <c r="B89" s="30"/>
      <c r="C89" s="30"/>
      <c r="D89" s="30"/>
      <c r="E89" s="30"/>
      <c r="F89" s="30"/>
      <c r="G89" s="30"/>
      <c r="H89" s="30"/>
      <c r="I89" s="30"/>
      <c r="J89" s="30"/>
      <c r="K89" s="30"/>
      <c r="L89" s="30"/>
      <c r="M89" s="30"/>
    </row>
    <row r="90" spans="2:13" x14ac:dyDescent="0.35">
      <c r="B90" s="30"/>
      <c r="C90" s="30"/>
      <c r="D90" s="30"/>
      <c r="E90" s="30"/>
      <c r="F90" s="30"/>
      <c r="G90" s="30"/>
      <c r="H90" s="30"/>
      <c r="I90" s="30"/>
      <c r="J90" s="30"/>
      <c r="K90" s="30"/>
      <c r="L90" s="30"/>
      <c r="M90" s="30"/>
    </row>
    <row r="91" spans="2:13" x14ac:dyDescent="0.35">
      <c r="B91" s="30"/>
      <c r="C91" s="30"/>
      <c r="D91" s="30"/>
      <c r="E91" s="30"/>
      <c r="F91" s="30"/>
      <c r="G91" s="30"/>
      <c r="H91" s="30"/>
      <c r="I91" s="30"/>
      <c r="J91" s="30"/>
      <c r="K91" s="30"/>
      <c r="L91" s="30"/>
      <c r="M91" s="30"/>
    </row>
    <row r="92" spans="2:13" x14ac:dyDescent="0.35">
      <c r="B92" s="30"/>
      <c r="C92" s="30"/>
      <c r="D92" s="30"/>
      <c r="E92" s="30"/>
      <c r="F92" s="30"/>
      <c r="G92" s="30"/>
      <c r="H92" s="30"/>
      <c r="I92" s="30"/>
      <c r="J92" s="30"/>
      <c r="K92" s="30"/>
      <c r="L92" s="30"/>
      <c r="M92" s="30"/>
    </row>
    <row r="93" spans="2:13" x14ac:dyDescent="0.35">
      <c r="B93" s="30"/>
      <c r="C93" s="30"/>
      <c r="D93" s="30"/>
      <c r="E93" s="30"/>
      <c r="F93" s="30"/>
      <c r="G93" s="30"/>
      <c r="H93" s="30"/>
      <c r="I93" s="30"/>
      <c r="J93" s="30"/>
      <c r="K93" s="30"/>
      <c r="L93" s="30"/>
      <c r="M93" s="30"/>
    </row>
    <row r="94" spans="2:13" x14ac:dyDescent="0.35">
      <c r="B94" s="30"/>
      <c r="C94" s="30"/>
      <c r="D94" s="30"/>
      <c r="E94" s="30"/>
      <c r="F94" s="30"/>
      <c r="G94" s="30"/>
      <c r="H94" s="30"/>
      <c r="I94" s="30"/>
      <c r="J94" s="30"/>
      <c r="K94" s="30"/>
      <c r="L94" s="30"/>
      <c r="M94" s="30"/>
    </row>
    <row r="95" spans="2:13" x14ac:dyDescent="0.35">
      <c r="B95" s="30"/>
      <c r="C95" s="30"/>
      <c r="D95" s="30"/>
      <c r="E95" s="30"/>
      <c r="F95" s="30"/>
      <c r="G95" s="30"/>
      <c r="H95" s="30"/>
      <c r="I95" s="30"/>
      <c r="J95" s="30"/>
      <c r="K95" s="30"/>
      <c r="L95" s="30"/>
      <c r="M95" s="30"/>
    </row>
    <row r="96" spans="2:13" x14ac:dyDescent="0.35">
      <c r="B96" s="30"/>
      <c r="C96" s="30"/>
      <c r="D96" s="30"/>
      <c r="E96" s="30"/>
      <c r="F96" s="30"/>
      <c r="G96" s="30"/>
      <c r="H96" s="30"/>
      <c r="I96" s="30"/>
      <c r="J96" s="30"/>
      <c r="K96" s="30"/>
      <c r="L96" s="30"/>
      <c r="M96" s="30"/>
    </row>
    <row r="97" spans="2:13" x14ac:dyDescent="0.35">
      <c r="B97" s="30"/>
      <c r="C97" s="30"/>
      <c r="D97" s="30"/>
      <c r="E97" s="30"/>
      <c r="F97" s="30"/>
      <c r="G97" s="30"/>
      <c r="H97" s="30"/>
      <c r="I97" s="30"/>
      <c r="J97" s="30"/>
      <c r="K97" s="30"/>
      <c r="L97" s="30"/>
      <c r="M97" s="30"/>
    </row>
    <row r="98" spans="2:13" x14ac:dyDescent="0.35">
      <c r="B98" s="30"/>
      <c r="C98" s="30"/>
      <c r="D98" s="30"/>
      <c r="E98" s="30"/>
      <c r="F98" s="30"/>
      <c r="G98" s="30"/>
      <c r="H98" s="30"/>
      <c r="I98" s="30"/>
      <c r="J98" s="30"/>
      <c r="K98" s="30"/>
      <c r="L98" s="30"/>
      <c r="M98" s="30"/>
    </row>
    <row r="99" spans="2:13" x14ac:dyDescent="0.35">
      <c r="B99" s="30"/>
      <c r="C99" s="30"/>
      <c r="D99" s="30"/>
      <c r="E99" s="30"/>
      <c r="F99" s="30"/>
      <c r="G99" s="30"/>
      <c r="H99" s="30"/>
      <c r="I99" s="30"/>
      <c r="J99" s="30"/>
      <c r="K99" s="30"/>
      <c r="L99" s="30"/>
      <c r="M99" s="30"/>
    </row>
    <row r="100" spans="2:13" x14ac:dyDescent="0.35">
      <c r="B100" s="30"/>
      <c r="C100" s="30"/>
      <c r="D100" s="30"/>
      <c r="E100" s="30"/>
      <c r="F100" s="30"/>
      <c r="G100" s="30"/>
      <c r="H100" s="30"/>
      <c r="I100" s="30"/>
      <c r="J100" s="30"/>
      <c r="K100" s="30"/>
      <c r="L100" s="30"/>
      <c r="M100" s="30"/>
    </row>
    <row r="101" spans="2:13" x14ac:dyDescent="0.35">
      <c r="B101" s="30"/>
      <c r="C101" s="30"/>
      <c r="D101" s="30"/>
      <c r="E101" s="30"/>
      <c r="F101" s="30"/>
      <c r="G101" s="30"/>
      <c r="H101" s="30"/>
      <c r="I101" s="30"/>
      <c r="J101" s="30"/>
      <c r="K101" s="30"/>
      <c r="L101" s="30"/>
      <c r="M101" s="30"/>
    </row>
    <row r="102" spans="2:13" x14ac:dyDescent="0.35">
      <c r="B102" s="30"/>
      <c r="C102" s="30"/>
      <c r="D102" s="30"/>
      <c r="E102" s="30"/>
      <c r="F102" s="30"/>
      <c r="G102" s="30"/>
      <c r="H102" s="30"/>
      <c r="I102" s="30"/>
      <c r="J102" s="30"/>
      <c r="K102" s="30"/>
      <c r="L102" s="30"/>
      <c r="M102" s="30"/>
    </row>
    <row r="103" spans="2:13" x14ac:dyDescent="0.35">
      <c r="B103" s="30"/>
      <c r="C103" s="30"/>
      <c r="D103" s="30"/>
      <c r="E103" s="30"/>
      <c r="F103" s="30"/>
      <c r="G103" s="30"/>
      <c r="H103" s="30"/>
      <c r="I103" s="30"/>
      <c r="J103" s="30"/>
      <c r="K103" s="30"/>
      <c r="L103" s="30"/>
      <c r="M103" s="30"/>
    </row>
    <row r="104" spans="2:13" x14ac:dyDescent="0.35">
      <c r="B104" s="30"/>
      <c r="C104" s="30"/>
      <c r="D104" s="30"/>
      <c r="E104" s="30"/>
      <c r="F104" s="30"/>
      <c r="G104" s="30"/>
      <c r="H104" s="30"/>
      <c r="I104" s="30"/>
      <c r="J104" s="30"/>
      <c r="K104" s="30"/>
      <c r="L104" s="30"/>
      <c r="M104" s="30"/>
    </row>
    <row r="105" spans="2:13" x14ac:dyDescent="0.35">
      <c r="B105" s="30"/>
      <c r="C105" s="30"/>
      <c r="D105" s="30"/>
      <c r="E105" s="30"/>
      <c r="F105" s="30"/>
      <c r="G105" s="30"/>
      <c r="H105" s="30"/>
      <c r="I105" s="30"/>
      <c r="J105" s="30"/>
      <c r="K105" s="30"/>
      <c r="L105" s="30"/>
      <c r="M105" s="30"/>
    </row>
    <row r="106" spans="2:13" x14ac:dyDescent="0.35">
      <c r="B106" s="30"/>
      <c r="C106" s="30"/>
      <c r="D106" s="30"/>
      <c r="E106" s="30"/>
      <c r="F106" s="30"/>
      <c r="G106" s="30"/>
      <c r="H106" s="30"/>
      <c r="I106" s="30"/>
      <c r="J106" s="30"/>
      <c r="K106" s="30"/>
      <c r="L106" s="30"/>
      <c r="M106" s="30"/>
    </row>
    <row r="107" spans="2:13" x14ac:dyDescent="0.35">
      <c r="B107" s="30"/>
      <c r="C107" s="30"/>
      <c r="D107" s="30"/>
      <c r="E107" s="30"/>
      <c r="F107" s="30"/>
      <c r="G107" s="30"/>
      <c r="H107" s="30"/>
      <c r="I107" s="30"/>
      <c r="J107" s="30"/>
      <c r="K107" s="30"/>
      <c r="L107" s="30"/>
      <c r="M107" s="30"/>
    </row>
    <row r="108" spans="2:13" x14ac:dyDescent="0.35">
      <c r="B108" s="30"/>
      <c r="C108" s="30"/>
      <c r="D108" s="30"/>
      <c r="E108" s="30"/>
      <c r="F108" s="30"/>
      <c r="G108" s="30"/>
      <c r="H108" s="30"/>
      <c r="I108" s="30"/>
      <c r="J108" s="30"/>
      <c r="K108" s="30"/>
      <c r="L108" s="30"/>
      <c r="M108" s="30"/>
    </row>
    <row r="109" spans="2:13" x14ac:dyDescent="0.35">
      <c r="B109" s="30"/>
      <c r="C109" s="30"/>
      <c r="D109" s="30"/>
      <c r="E109" s="30"/>
      <c r="F109" s="30"/>
      <c r="G109" s="30"/>
      <c r="H109" s="30"/>
      <c r="I109" s="30"/>
      <c r="J109" s="30"/>
      <c r="K109" s="30"/>
      <c r="L109" s="30"/>
      <c r="M109" s="30"/>
    </row>
    <row r="110" spans="2:13" x14ac:dyDescent="0.35">
      <c r="B110" s="30"/>
      <c r="C110" s="30"/>
      <c r="D110" s="30"/>
      <c r="E110" s="30"/>
      <c r="F110" s="30"/>
      <c r="G110" s="30"/>
      <c r="H110" s="30"/>
      <c r="I110" s="30"/>
      <c r="J110" s="30"/>
      <c r="K110" s="30"/>
      <c r="L110" s="30"/>
      <c r="M110" s="30"/>
    </row>
    <row r="111" spans="2:13" x14ac:dyDescent="0.35">
      <c r="B111" s="30"/>
      <c r="C111" s="30"/>
      <c r="D111" s="30"/>
      <c r="E111" s="30"/>
      <c r="F111" s="30"/>
      <c r="G111" s="30"/>
      <c r="H111" s="30"/>
      <c r="I111" s="30"/>
      <c r="J111" s="30"/>
      <c r="K111" s="30"/>
      <c r="L111" s="30"/>
      <c r="M111" s="30"/>
    </row>
    <row r="112" spans="2:13" x14ac:dyDescent="0.35">
      <c r="B112" s="30"/>
      <c r="C112" s="30"/>
      <c r="D112" s="30"/>
      <c r="E112" s="30"/>
      <c r="F112" s="30"/>
      <c r="G112" s="30"/>
      <c r="H112" s="30"/>
      <c r="I112" s="30"/>
      <c r="J112" s="30"/>
      <c r="K112" s="30"/>
      <c r="L112" s="30"/>
      <c r="M112" s="30"/>
    </row>
    <row r="113" spans="2:13" x14ac:dyDescent="0.35">
      <c r="B113" s="30"/>
      <c r="C113" s="30"/>
      <c r="D113" s="30"/>
      <c r="E113" s="30"/>
      <c r="F113" s="30"/>
      <c r="G113" s="30"/>
      <c r="H113" s="30"/>
      <c r="I113" s="30"/>
      <c r="J113" s="30"/>
      <c r="K113" s="30"/>
      <c r="L113" s="30"/>
      <c r="M113" s="30"/>
    </row>
    <row r="114" spans="2:13" x14ac:dyDescent="0.35">
      <c r="B114" s="30"/>
      <c r="C114" s="30"/>
      <c r="D114" s="30"/>
      <c r="E114" s="30"/>
      <c r="F114" s="30"/>
      <c r="G114" s="30"/>
      <c r="H114" s="30"/>
      <c r="I114" s="30"/>
      <c r="J114" s="30"/>
      <c r="K114" s="30"/>
      <c r="L114" s="30"/>
      <c r="M114" s="30"/>
    </row>
    <row r="115" spans="2:13" x14ac:dyDescent="0.35">
      <c r="B115" s="30"/>
      <c r="C115" s="30"/>
      <c r="D115" s="30"/>
      <c r="E115" s="30"/>
      <c r="F115" s="30"/>
      <c r="G115" s="30"/>
      <c r="H115" s="30"/>
      <c r="I115" s="30"/>
      <c r="J115" s="30"/>
      <c r="K115" s="30"/>
      <c r="L115" s="30"/>
      <c r="M115" s="30"/>
    </row>
    <row r="116" spans="2:13" x14ac:dyDescent="0.35">
      <c r="B116" s="30"/>
      <c r="C116" s="30"/>
      <c r="D116" s="30"/>
      <c r="E116" s="30"/>
      <c r="F116" s="30"/>
      <c r="G116" s="30"/>
      <c r="H116" s="30"/>
      <c r="I116" s="30"/>
      <c r="J116" s="30"/>
      <c r="K116" s="30"/>
      <c r="L116" s="30"/>
      <c r="M116" s="30"/>
    </row>
    <row r="117" spans="2:13" x14ac:dyDescent="0.35">
      <c r="B117" s="30"/>
      <c r="C117" s="30"/>
      <c r="D117" s="30"/>
      <c r="E117" s="30"/>
      <c r="F117" s="30"/>
      <c r="G117" s="30"/>
      <c r="H117" s="30"/>
      <c r="I117" s="30"/>
      <c r="J117" s="30"/>
      <c r="K117" s="30"/>
      <c r="L117" s="30"/>
      <c r="M117" s="30"/>
    </row>
    <row r="118" spans="2:13" x14ac:dyDescent="0.35">
      <c r="B118" s="30"/>
      <c r="C118" s="30"/>
      <c r="D118" s="30"/>
      <c r="E118" s="30"/>
      <c r="F118" s="30"/>
      <c r="G118" s="30"/>
      <c r="H118" s="30"/>
      <c r="I118" s="30"/>
      <c r="J118" s="30"/>
      <c r="K118" s="30"/>
      <c r="L118" s="30"/>
      <c r="M118" s="30"/>
    </row>
    <row r="119" spans="2:13" x14ac:dyDescent="0.35">
      <c r="B119" s="30"/>
      <c r="C119" s="30"/>
      <c r="D119" s="30"/>
      <c r="E119" s="30"/>
      <c r="F119" s="30"/>
      <c r="G119" s="30"/>
      <c r="H119" s="30"/>
      <c r="I119" s="30"/>
      <c r="J119" s="30"/>
      <c r="K119" s="30"/>
      <c r="L119" s="30"/>
      <c r="M119" s="30"/>
    </row>
    <row r="120" spans="2:13" x14ac:dyDescent="0.35">
      <c r="B120" s="30"/>
      <c r="C120" s="30"/>
      <c r="D120" s="30"/>
      <c r="E120" s="30"/>
      <c r="F120" s="30"/>
      <c r="G120" s="30"/>
      <c r="H120" s="30"/>
      <c r="I120" s="30"/>
      <c r="J120" s="30"/>
      <c r="K120" s="30"/>
      <c r="L120" s="30"/>
      <c r="M120" s="30"/>
    </row>
    <row r="121" spans="2:13" x14ac:dyDescent="0.35">
      <c r="B121" s="30"/>
      <c r="C121" s="30"/>
      <c r="D121" s="30"/>
      <c r="E121" s="30"/>
      <c r="F121" s="30"/>
      <c r="G121" s="30"/>
      <c r="H121" s="30"/>
      <c r="I121" s="30"/>
      <c r="J121" s="30"/>
      <c r="K121" s="30"/>
      <c r="L121" s="30"/>
      <c r="M121" s="30"/>
    </row>
  </sheetData>
  <sheetProtection algorithmName="SHA-512" hashValue="CzuCF5ttJmCHA6XPT9t6RZ5VUP2maeElonTHJ60YWBspxjEGqSD78aOzSNvaQf4Z+TTfDYbwoPage9lwgkNzRQ==" saltValue="lV8pwUlEbuC/4Tm5CeyQgA=="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E96"/>
  <sheetViews>
    <sheetView showRowColHeaders="0" zoomScaleNormal="100" workbookViewId="0">
      <selection activeCell="B6" sqref="B6:M6"/>
    </sheetView>
  </sheetViews>
  <sheetFormatPr defaultColWidth="9.26953125" defaultRowHeight="14.5" x14ac:dyDescent="0.35"/>
  <cols>
    <col min="1" max="13" width="9.26953125" style="137"/>
    <col min="14" max="14" width="1.7265625" style="137" customWidth="1"/>
    <col min="15" max="25" width="9.26953125" style="137"/>
    <col min="26" max="26" width="6.26953125" style="137" customWidth="1"/>
    <col min="27" max="27" width="2.7265625" style="137" hidden="1" customWidth="1"/>
    <col min="28" max="29" width="9.26953125" style="137" hidden="1" customWidth="1"/>
    <col min="30" max="30" width="8.54296875" style="137" hidden="1" customWidth="1"/>
    <col min="31" max="31" width="0.453125" style="137" customWidth="1"/>
    <col min="32" max="16384" width="9.26953125" style="137"/>
  </cols>
  <sheetData>
    <row r="3" spans="1:31" ht="15.75" customHeight="1" x14ac:dyDescent="0.35">
      <c r="A3" s="195"/>
      <c r="B3" s="230" t="s">
        <v>7</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row>
    <row r="4" spans="1:31" ht="15" customHeight="1" x14ac:dyDescent="0.35">
      <c r="A4" s="195"/>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row>
    <row r="5" spans="1:31" ht="8.25" customHeight="1" x14ac:dyDescent="0.35">
      <c r="B5" s="132"/>
      <c r="C5" s="1"/>
      <c r="D5" s="1"/>
      <c r="E5" s="1"/>
      <c r="F5" s="1"/>
      <c r="G5" s="1"/>
      <c r="H5" s="1"/>
      <c r="I5" s="1"/>
      <c r="J5" s="1"/>
      <c r="K5" s="1"/>
      <c r="L5" s="1"/>
      <c r="M5" s="1"/>
      <c r="N5" s="122"/>
    </row>
    <row r="6" spans="1:31" ht="26.25" customHeight="1" x14ac:dyDescent="0.35">
      <c r="B6" s="224" t="s">
        <v>8</v>
      </c>
      <c r="C6" s="225"/>
      <c r="D6" s="225"/>
      <c r="E6" s="225"/>
      <c r="F6" s="225"/>
      <c r="G6" s="225"/>
      <c r="H6" s="225"/>
      <c r="I6" s="225"/>
      <c r="J6" s="225"/>
      <c r="K6" s="225"/>
      <c r="L6" s="225"/>
      <c r="M6" s="225"/>
      <c r="N6" s="122"/>
    </row>
    <row r="7" spans="1:31" ht="42.4" customHeight="1" x14ac:dyDescent="0.35">
      <c r="B7" s="228" t="s">
        <v>9</v>
      </c>
      <c r="C7" s="229"/>
      <c r="D7" s="229"/>
      <c r="E7" s="229"/>
      <c r="F7" s="229"/>
      <c r="G7" s="229"/>
      <c r="H7" s="229"/>
      <c r="I7" s="229"/>
      <c r="J7" s="229"/>
      <c r="K7" s="229"/>
      <c r="L7" s="229"/>
      <c r="M7" s="229"/>
      <c r="N7" s="122"/>
    </row>
    <row r="8" spans="1:31" ht="67.150000000000006" customHeight="1" x14ac:dyDescent="0.35">
      <c r="B8" s="228" t="s">
        <v>10</v>
      </c>
      <c r="C8" s="229"/>
      <c r="D8" s="229"/>
      <c r="E8" s="229"/>
      <c r="F8" s="229"/>
      <c r="G8" s="229"/>
      <c r="H8" s="229"/>
      <c r="I8" s="229"/>
      <c r="J8" s="229"/>
      <c r="K8" s="229"/>
      <c r="L8" s="229"/>
      <c r="M8" s="229"/>
      <c r="N8" s="122"/>
    </row>
    <row r="9" spans="1:31" ht="78" customHeight="1" x14ac:dyDescent="0.35">
      <c r="B9" s="228" t="s">
        <v>11</v>
      </c>
      <c r="C9" s="229"/>
      <c r="D9" s="229"/>
      <c r="E9" s="229"/>
      <c r="F9" s="229"/>
      <c r="G9" s="229"/>
      <c r="H9" s="229"/>
      <c r="I9" s="229"/>
      <c r="J9" s="229"/>
      <c r="K9" s="229"/>
      <c r="L9" s="229"/>
      <c r="M9" s="229"/>
      <c r="N9" s="122"/>
    </row>
    <row r="10" spans="1:31" ht="37.5" customHeight="1" x14ac:dyDescent="0.35">
      <c r="B10" s="228" t="s">
        <v>12</v>
      </c>
      <c r="C10" s="229"/>
      <c r="D10" s="229"/>
      <c r="E10" s="229"/>
      <c r="F10" s="229"/>
      <c r="G10" s="229"/>
      <c r="H10" s="229"/>
      <c r="I10" s="229"/>
      <c r="J10" s="229"/>
      <c r="K10" s="229"/>
      <c r="L10" s="229"/>
      <c r="M10" s="229"/>
      <c r="N10" s="122"/>
    </row>
    <row r="11" spans="1:31" ht="15" customHeight="1" thickBot="1" x14ac:dyDescent="0.4">
      <c r="B11" s="216"/>
      <c r="C11" s="217"/>
      <c r="D11" s="217"/>
      <c r="E11" s="217"/>
      <c r="F11" s="217"/>
      <c r="G11" s="217"/>
      <c r="H11" s="217"/>
      <c r="I11" s="217"/>
      <c r="J11" s="217"/>
      <c r="K11" s="217"/>
      <c r="L11" s="217"/>
      <c r="M11" s="217"/>
      <c r="N11" s="136"/>
    </row>
    <row r="12" spans="1:31" ht="15" thickTop="1" x14ac:dyDescent="0.35">
      <c r="B12" s="30"/>
      <c r="C12" s="30"/>
      <c r="D12" s="30"/>
      <c r="E12" s="30"/>
      <c r="F12" s="30"/>
      <c r="G12" s="30"/>
      <c r="H12" s="30"/>
      <c r="I12" s="30"/>
      <c r="J12" s="30"/>
      <c r="K12" s="30"/>
      <c r="L12" s="30"/>
      <c r="M12" s="30"/>
    </row>
    <row r="13" spans="1:31" x14ac:dyDescent="0.35">
      <c r="B13" s="30"/>
      <c r="C13" s="30"/>
      <c r="D13" s="30"/>
      <c r="E13" s="30"/>
      <c r="F13" s="30"/>
      <c r="G13" s="30"/>
      <c r="H13" s="30"/>
      <c r="I13" s="30"/>
      <c r="J13" s="30"/>
      <c r="K13" s="30"/>
      <c r="L13" s="30"/>
      <c r="M13" s="30"/>
    </row>
    <row r="14" spans="1:31" x14ac:dyDescent="0.35">
      <c r="B14" s="30"/>
      <c r="C14" s="30"/>
      <c r="D14" s="30"/>
      <c r="E14" s="30"/>
      <c r="F14" s="30"/>
      <c r="G14" s="30"/>
      <c r="H14" s="30"/>
      <c r="I14" s="30"/>
      <c r="J14" s="30"/>
      <c r="K14" s="30"/>
      <c r="L14" s="30"/>
      <c r="M14" s="30"/>
    </row>
    <row r="15" spans="1:31" x14ac:dyDescent="0.35">
      <c r="B15" s="30"/>
      <c r="C15" s="30"/>
      <c r="D15" s="30"/>
      <c r="E15" s="30"/>
      <c r="F15" s="30"/>
      <c r="G15" s="30"/>
      <c r="H15" s="30"/>
      <c r="I15" s="30"/>
      <c r="J15" s="30"/>
      <c r="K15" s="30"/>
      <c r="L15" s="30"/>
      <c r="M15" s="30"/>
    </row>
    <row r="16" spans="1:31" x14ac:dyDescent="0.35">
      <c r="B16" s="30"/>
      <c r="C16" s="30"/>
      <c r="D16" s="30"/>
      <c r="E16" s="30"/>
      <c r="F16" s="30"/>
      <c r="G16" s="30"/>
      <c r="H16" s="30"/>
      <c r="I16" s="30"/>
      <c r="J16" s="30"/>
      <c r="K16" s="30"/>
      <c r="L16" s="30"/>
      <c r="M16" s="30"/>
    </row>
    <row r="17" spans="2:13" x14ac:dyDescent="0.35">
      <c r="B17" s="30"/>
      <c r="C17" s="30"/>
      <c r="D17" s="30"/>
      <c r="E17" s="30"/>
      <c r="F17" s="30"/>
      <c r="G17" s="30"/>
      <c r="H17" s="30"/>
      <c r="I17" s="30"/>
      <c r="J17" s="30"/>
      <c r="K17" s="30"/>
      <c r="L17" s="30"/>
      <c r="M17" s="30"/>
    </row>
    <row r="18" spans="2:13" x14ac:dyDescent="0.35">
      <c r="B18" s="30"/>
      <c r="C18" s="30"/>
      <c r="D18" s="30"/>
      <c r="E18" s="30"/>
      <c r="F18" s="30"/>
      <c r="G18" s="30"/>
      <c r="H18" s="30"/>
      <c r="I18" s="30"/>
      <c r="J18" s="30"/>
      <c r="K18" s="30"/>
      <c r="L18" s="30"/>
      <c r="M18" s="30"/>
    </row>
    <row r="19" spans="2:13" x14ac:dyDescent="0.35">
      <c r="B19" s="30"/>
      <c r="C19" s="30"/>
      <c r="D19" s="30"/>
      <c r="E19" s="30"/>
      <c r="F19" s="30"/>
      <c r="G19" s="30"/>
      <c r="H19" s="30"/>
      <c r="I19" s="30"/>
      <c r="J19" s="30"/>
      <c r="K19" s="30"/>
      <c r="L19" s="30"/>
      <c r="M19" s="30"/>
    </row>
    <row r="20" spans="2:13" x14ac:dyDescent="0.35">
      <c r="B20" s="30"/>
      <c r="C20" s="30"/>
      <c r="D20" s="30"/>
      <c r="E20" s="30"/>
      <c r="F20" s="30"/>
      <c r="G20" s="30"/>
      <c r="H20" s="30"/>
      <c r="I20" s="30"/>
      <c r="J20" s="30"/>
      <c r="K20" s="30"/>
      <c r="L20" s="30"/>
      <c r="M20" s="30"/>
    </row>
    <row r="21" spans="2:13" x14ac:dyDescent="0.35">
      <c r="B21" s="30"/>
      <c r="C21" s="30"/>
      <c r="D21" s="30"/>
      <c r="E21" s="30"/>
      <c r="F21" s="30"/>
      <c r="G21" s="30"/>
      <c r="H21" s="30"/>
      <c r="I21" s="30"/>
      <c r="J21" s="30"/>
      <c r="K21" s="30"/>
      <c r="L21" s="30"/>
      <c r="M21" s="30"/>
    </row>
    <row r="22" spans="2:13" x14ac:dyDescent="0.35">
      <c r="B22" s="30"/>
      <c r="C22" s="30"/>
      <c r="D22" s="30"/>
      <c r="E22" s="30"/>
      <c r="F22" s="30"/>
      <c r="G22" s="30"/>
      <c r="H22" s="30"/>
      <c r="I22" s="30"/>
      <c r="J22" s="30"/>
      <c r="K22" s="30"/>
      <c r="L22" s="30"/>
      <c r="M22" s="30"/>
    </row>
    <row r="23" spans="2:13" x14ac:dyDescent="0.35">
      <c r="B23" s="30"/>
      <c r="C23" s="30"/>
      <c r="D23" s="30"/>
      <c r="E23" s="30"/>
      <c r="F23" s="30"/>
      <c r="G23" s="30"/>
      <c r="H23" s="30"/>
      <c r="I23" s="30"/>
      <c r="J23" s="30"/>
      <c r="K23" s="30"/>
      <c r="L23" s="30"/>
      <c r="M23" s="30"/>
    </row>
    <row r="24" spans="2:13" x14ac:dyDescent="0.35">
      <c r="B24" s="30"/>
      <c r="C24" s="30"/>
      <c r="D24" s="30"/>
      <c r="E24" s="30"/>
      <c r="F24" s="30"/>
      <c r="G24" s="30"/>
      <c r="H24" s="30"/>
      <c r="I24" s="30"/>
      <c r="J24" s="30"/>
      <c r="K24" s="30"/>
      <c r="L24" s="30"/>
      <c r="M24" s="30"/>
    </row>
    <row r="25" spans="2:13" x14ac:dyDescent="0.35">
      <c r="B25" s="30"/>
      <c r="C25" s="30"/>
      <c r="D25" s="30"/>
      <c r="E25" s="30"/>
      <c r="F25" s="30"/>
      <c r="G25" s="30"/>
      <c r="H25" s="30"/>
      <c r="I25" s="30"/>
      <c r="J25" s="30"/>
      <c r="K25" s="30"/>
      <c r="L25" s="30"/>
      <c r="M25" s="30"/>
    </row>
    <row r="26" spans="2:13" x14ac:dyDescent="0.35">
      <c r="B26" s="30"/>
      <c r="C26" s="30"/>
      <c r="D26" s="30"/>
      <c r="E26" s="30"/>
      <c r="F26" s="30"/>
      <c r="G26" s="30"/>
      <c r="H26" s="30"/>
      <c r="I26" s="30"/>
      <c r="J26" s="30"/>
      <c r="K26" s="30"/>
      <c r="L26" s="30"/>
      <c r="M26" s="30"/>
    </row>
    <row r="27" spans="2:13" x14ac:dyDescent="0.35">
      <c r="B27" s="30"/>
      <c r="C27" s="30"/>
      <c r="D27" s="30"/>
      <c r="E27" s="30"/>
      <c r="F27" s="30"/>
      <c r="G27" s="30"/>
      <c r="H27" s="30"/>
      <c r="I27" s="30"/>
      <c r="J27" s="30"/>
      <c r="K27" s="30"/>
      <c r="L27" s="30"/>
      <c r="M27" s="30"/>
    </row>
    <row r="28" spans="2:13" x14ac:dyDescent="0.35">
      <c r="B28" s="30"/>
      <c r="C28" s="30"/>
      <c r="D28" s="30"/>
      <c r="E28" s="30"/>
      <c r="F28" s="30"/>
      <c r="G28" s="30"/>
      <c r="H28" s="30"/>
      <c r="I28" s="30"/>
      <c r="J28" s="30"/>
      <c r="K28" s="30"/>
      <c r="L28" s="30"/>
      <c r="M28" s="30"/>
    </row>
    <row r="29" spans="2:13" x14ac:dyDescent="0.35">
      <c r="B29" s="30"/>
      <c r="C29" s="30"/>
      <c r="D29" s="30"/>
      <c r="E29" s="30"/>
      <c r="F29" s="30"/>
      <c r="G29" s="30"/>
      <c r="H29" s="30"/>
      <c r="I29" s="30"/>
      <c r="J29" s="30"/>
      <c r="K29" s="30"/>
      <c r="L29" s="30"/>
      <c r="M29" s="30"/>
    </row>
    <row r="30" spans="2:13" x14ac:dyDescent="0.35">
      <c r="B30" s="30"/>
      <c r="C30" s="30"/>
      <c r="D30" s="30"/>
      <c r="E30" s="30"/>
      <c r="F30" s="30"/>
      <c r="G30" s="30"/>
      <c r="H30" s="30"/>
      <c r="I30" s="30"/>
      <c r="J30" s="30"/>
      <c r="K30" s="30"/>
      <c r="L30" s="30"/>
      <c r="M30" s="30"/>
    </row>
    <row r="31" spans="2:13" x14ac:dyDescent="0.35">
      <c r="B31" s="30"/>
      <c r="C31" s="30"/>
      <c r="D31" s="30"/>
      <c r="E31" s="30"/>
      <c r="F31" s="30"/>
      <c r="G31" s="30"/>
      <c r="H31" s="30"/>
      <c r="I31" s="30"/>
      <c r="J31" s="30"/>
      <c r="K31" s="30"/>
      <c r="L31" s="30"/>
      <c r="M31" s="30"/>
    </row>
    <row r="32" spans="2:13" x14ac:dyDescent="0.35">
      <c r="B32" s="30"/>
      <c r="C32" s="30"/>
      <c r="D32" s="30"/>
      <c r="E32" s="30"/>
      <c r="F32" s="30"/>
      <c r="G32" s="30"/>
      <c r="H32" s="30"/>
      <c r="I32" s="30"/>
      <c r="J32" s="30"/>
      <c r="K32" s="30"/>
      <c r="L32" s="30"/>
      <c r="M32" s="30"/>
    </row>
    <row r="33" spans="2:13" x14ac:dyDescent="0.35">
      <c r="B33" s="30"/>
      <c r="C33" s="30"/>
      <c r="D33" s="30"/>
      <c r="E33" s="30"/>
      <c r="F33" s="30"/>
      <c r="G33" s="30"/>
      <c r="H33" s="30"/>
      <c r="I33" s="30"/>
      <c r="J33" s="30"/>
      <c r="K33" s="30"/>
      <c r="L33" s="30"/>
      <c r="M33" s="30"/>
    </row>
    <row r="34" spans="2:13" x14ac:dyDescent="0.35">
      <c r="B34" s="30"/>
      <c r="C34" s="30"/>
      <c r="D34" s="30"/>
      <c r="E34" s="30"/>
      <c r="F34" s="30"/>
      <c r="G34" s="30"/>
      <c r="H34" s="30"/>
      <c r="I34" s="30"/>
      <c r="J34" s="30"/>
      <c r="K34" s="30"/>
      <c r="L34" s="30"/>
      <c r="M34" s="30"/>
    </row>
    <row r="35" spans="2:13" x14ac:dyDescent="0.35">
      <c r="B35" s="30"/>
      <c r="C35" s="30"/>
      <c r="D35" s="30"/>
      <c r="E35" s="30"/>
      <c r="F35" s="30"/>
      <c r="G35" s="30"/>
      <c r="H35" s="30"/>
      <c r="I35" s="30"/>
      <c r="J35" s="30"/>
      <c r="K35" s="30"/>
      <c r="L35" s="30"/>
      <c r="M35" s="30"/>
    </row>
    <row r="36" spans="2:13" x14ac:dyDescent="0.35">
      <c r="B36" s="30"/>
      <c r="C36" s="30"/>
      <c r="D36" s="30"/>
      <c r="E36" s="30"/>
      <c r="F36" s="30"/>
      <c r="G36" s="30"/>
      <c r="H36" s="30"/>
      <c r="I36" s="30"/>
      <c r="J36" s="30"/>
      <c r="K36" s="30"/>
      <c r="L36" s="30"/>
      <c r="M36" s="30"/>
    </row>
    <row r="37" spans="2:13" x14ac:dyDescent="0.35">
      <c r="B37" s="30"/>
      <c r="C37" s="30"/>
      <c r="D37" s="30"/>
      <c r="E37" s="30"/>
      <c r="F37" s="30"/>
      <c r="G37" s="30"/>
      <c r="H37" s="30"/>
      <c r="I37" s="30"/>
      <c r="J37" s="30"/>
      <c r="K37" s="30"/>
      <c r="L37" s="30"/>
      <c r="M37" s="30"/>
    </row>
    <row r="38" spans="2:13" x14ac:dyDescent="0.35">
      <c r="B38" s="30"/>
      <c r="C38" s="30"/>
      <c r="D38" s="30"/>
      <c r="E38" s="30"/>
      <c r="F38" s="30"/>
      <c r="G38" s="30"/>
      <c r="H38" s="30"/>
      <c r="I38" s="30"/>
      <c r="J38" s="30"/>
      <c r="K38" s="30"/>
      <c r="L38" s="30"/>
      <c r="M38" s="30"/>
    </row>
    <row r="39" spans="2:13" x14ac:dyDescent="0.35">
      <c r="B39" s="30"/>
      <c r="C39" s="30"/>
      <c r="D39" s="30"/>
      <c r="E39" s="30"/>
      <c r="F39" s="30"/>
      <c r="G39" s="30"/>
      <c r="H39" s="30"/>
      <c r="I39" s="30"/>
      <c r="J39" s="30"/>
      <c r="K39" s="30"/>
      <c r="L39" s="30"/>
      <c r="M39" s="30"/>
    </row>
    <row r="40" spans="2:13" x14ac:dyDescent="0.35">
      <c r="B40" s="30"/>
      <c r="C40" s="30"/>
      <c r="D40" s="30"/>
      <c r="E40" s="30"/>
      <c r="F40" s="30"/>
      <c r="G40" s="30"/>
      <c r="H40" s="30"/>
      <c r="I40" s="30"/>
      <c r="J40" s="30"/>
      <c r="K40" s="30"/>
      <c r="L40" s="30"/>
      <c r="M40" s="30"/>
    </row>
    <row r="41" spans="2:13" x14ac:dyDescent="0.35">
      <c r="B41" s="30"/>
      <c r="C41" s="30"/>
      <c r="D41" s="30"/>
      <c r="E41" s="30"/>
      <c r="F41" s="30"/>
      <c r="G41" s="30"/>
      <c r="H41" s="30"/>
      <c r="I41" s="30"/>
      <c r="J41" s="30"/>
      <c r="K41" s="30"/>
      <c r="L41" s="30"/>
      <c r="M41" s="30"/>
    </row>
    <row r="42" spans="2:13" x14ac:dyDescent="0.35">
      <c r="B42" s="30"/>
      <c r="C42" s="30"/>
      <c r="D42" s="30"/>
      <c r="E42" s="30"/>
      <c r="F42" s="30"/>
      <c r="G42" s="30"/>
      <c r="H42" s="30"/>
      <c r="I42" s="30"/>
      <c r="J42" s="30"/>
      <c r="K42" s="30"/>
      <c r="L42" s="30"/>
      <c r="M42" s="30"/>
    </row>
    <row r="43" spans="2:13" x14ac:dyDescent="0.35">
      <c r="B43" s="30"/>
      <c r="C43" s="30"/>
      <c r="D43" s="30"/>
      <c r="E43" s="30"/>
      <c r="F43" s="30"/>
      <c r="G43" s="30"/>
      <c r="H43" s="30"/>
      <c r="I43" s="30"/>
      <c r="J43" s="30"/>
      <c r="K43" s="30"/>
      <c r="L43" s="30"/>
      <c r="M43" s="30"/>
    </row>
    <row r="44" spans="2:13" x14ac:dyDescent="0.35">
      <c r="B44" s="30"/>
      <c r="C44" s="30"/>
      <c r="D44" s="30"/>
      <c r="E44" s="30"/>
      <c r="F44" s="30"/>
      <c r="G44" s="30"/>
      <c r="H44" s="30"/>
      <c r="I44" s="30"/>
      <c r="J44" s="30"/>
      <c r="K44" s="30"/>
      <c r="L44" s="30"/>
      <c r="M44" s="30"/>
    </row>
    <row r="45" spans="2:13" x14ac:dyDescent="0.35">
      <c r="B45" s="30"/>
      <c r="C45" s="30"/>
      <c r="D45" s="30"/>
      <c r="E45" s="30"/>
      <c r="F45" s="30"/>
      <c r="G45" s="30"/>
      <c r="H45" s="30"/>
      <c r="I45" s="30"/>
      <c r="J45" s="30"/>
      <c r="K45" s="30"/>
      <c r="L45" s="30"/>
      <c r="M45" s="30"/>
    </row>
    <row r="46" spans="2:13" x14ac:dyDescent="0.35">
      <c r="B46" s="30"/>
      <c r="C46" s="30"/>
      <c r="D46" s="30"/>
      <c r="E46" s="30"/>
      <c r="F46" s="30"/>
      <c r="G46" s="30"/>
      <c r="H46" s="30"/>
      <c r="I46" s="30"/>
      <c r="J46" s="30"/>
      <c r="K46" s="30"/>
      <c r="L46" s="30"/>
      <c r="M46" s="30"/>
    </row>
    <row r="47" spans="2:13" x14ac:dyDescent="0.35">
      <c r="B47" s="30"/>
      <c r="C47" s="30"/>
      <c r="D47" s="30"/>
      <c r="E47" s="30"/>
      <c r="F47" s="30"/>
      <c r="G47" s="30"/>
      <c r="H47" s="30"/>
      <c r="I47" s="30"/>
      <c r="J47" s="30"/>
      <c r="K47" s="30"/>
      <c r="L47" s="30"/>
      <c r="M47" s="30"/>
    </row>
    <row r="48" spans="2:13" x14ac:dyDescent="0.35">
      <c r="B48" s="30"/>
      <c r="C48" s="30"/>
      <c r="D48" s="30"/>
      <c r="E48" s="30"/>
      <c r="F48" s="30"/>
      <c r="G48" s="30"/>
      <c r="H48" s="30"/>
      <c r="I48" s="30"/>
      <c r="J48" s="30"/>
      <c r="K48" s="30"/>
      <c r="L48" s="30"/>
      <c r="M48" s="30"/>
    </row>
    <row r="49" spans="2:13" x14ac:dyDescent="0.35">
      <c r="B49" s="30"/>
      <c r="C49" s="30"/>
      <c r="D49" s="30"/>
      <c r="E49" s="30"/>
      <c r="F49" s="30"/>
      <c r="G49" s="30"/>
      <c r="H49" s="30"/>
      <c r="I49" s="30"/>
      <c r="J49" s="30"/>
      <c r="K49" s="30"/>
      <c r="L49" s="30"/>
      <c r="M49" s="30"/>
    </row>
    <row r="50" spans="2:13" x14ac:dyDescent="0.35">
      <c r="B50" s="30"/>
      <c r="C50" s="30"/>
      <c r="D50" s="30"/>
      <c r="E50" s="30"/>
      <c r="F50" s="30"/>
      <c r="G50" s="30"/>
      <c r="H50" s="30"/>
      <c r="I50" s="30"/>
      <c r="J50" s="30"/>
      <c r="K50" s="30"/>
      <c r="L50" s="30"/>
      <c r="M50" s="30"/>
    </row>
    <row r="51" spans="2:13" x14ac:dyDescent="0.35">
      <c r="B51" s="30"/>
      <c r="C51" s="30"/>
      <c r="D51" s="30"/>
      <c r="E51" s="30"/>
      <c r="F51" s="30"/>
      <c r="G51" s="30"/>
      <c r="H51" s="30"/>
      <c r="I51" s="30"/>
      <c r="J51" s="30"/>
      <c r="K51" s="30"/>
      <c r="L51" s="30"/>
      <c r="M51" s="30"/>
    </row>
    <row r="52" spans="2:13" x14ac:dyDescent="0.35">
      <c r="B52" s="30"/>
      <c r="C52" s="30"/>
      <c r="D52" s="30"/>
      <c r="E52" s="30"/>
      <c r="F52" s="30"/>
      <c r="G52" s="30"/>
      <c r="H52" s="30"/>
      <c r="I52" s="30"/>
      <c r="J52" s="30"/>
      <c r="K52" s="30"/>
      <c r="L52" s="30"/>
      <c r="M52" s="30"/>
    </row>
    <row r="53" spans="2:13" x14ac:dyDescent="0.35">
      <c r="B53" s="30"/>
      <c r="C53" s="30"/>
      <c r="D53" s="30"/>
      <c r="E53" s="30"/>
      <c r="F53" s="30"/>
      <c r="G53" s="30"/>
      <c r="H53" s="30"/>
      <c r="I53" s="30"/>
      <c r="J53" s="30"/>
      <c r="K53" s="30"/>
      <c r="L53" s="30"/>
      <c r="M53" s="30"/>
    </row>
    <row r="54" spans="2:13" x14ac:dyDescent="0.35">
      <c r="B54" s="30"/>
      <c r="C54" s="30"/>
      <c r="D54" s="30"/>
      <c r="E54" s="30"/>
      <c r="F54" s="30"/>
      <c r="G54" s="30"/>
      <c r="H54" s="30"/>
      <c r="I54" s="30"/>
      <c r="J54" s="30"/>
      <c r="K54" s="30"/>
      <c r="L54" s="30"/>
      <c r="M54" s="30"/>
    </row>
    <row r="55" spans="2:13" x14ac:dyDescent="0.35">
      <c r="B55" s="30"/>
      <c r="C55" s="30"/>
      <c r="D55" s="30"/>
      <c r="E55" s="30"/>
      <c r="F55" s="30"/>
      <c r="G55" s="30"/>
      <c r="H55" s="30"/>
      <c r="I55" s="30"/>
      <c r="J55" s="30"/>
      <c r="K55" s="30"/>
      <c r="L55" s="30"/>
      <c r="M55" s="30"/>
    </row>
    <row r="56" spans="2:13" x14ac:dyDescent="0.35">
      <c r="B56" s="30"/>
      <c r="C56" s="30"/>
      <c r="D56" s="30"/>
      <c r="E56" s="30"/>
      <c r="F56" s="30"/>
      <c r="G56" s="30"/>
      <c r="H56" s="30"/>
      <c r="I56" s="30"/>
      <c r="J56" s="30"/>
      <c r="K56" s="30"/>
      <c r="L56" s="30"/>
      <c r="M56" s="30"/>
    </row>
    <row r="57" spans="2:13" x14ac:dyDescent="0.35">
      <c r="B57" s="30"/>
      <c r="C57" s="30"/>
      <c r="D57" s="30"/>
      <c r="E57" s="30"/>
      <c r="F57" s="30"/>
      <c r="G57" s="30"/>
      <c r="H57" s="30"/>
      <c r="I57" s="30"/>
      <c r="J57" s="30"/>
      <c r="K57" s="30"/>
      <c r="L57" s="30"/>
      <c r="M57" s="30"/>
    </row>
    <row r="58" spans="2:13" x14ac:dyDescent="0.35">
      <c r="B58" s="30"/>
      <c r="C58" s="30"/>
      <c r="D58" s="30"/>
      <c r="E58" s="30"/>
      <c r="F58" s="30"/>
      <c r="G58" s="30"/>
      <c r="H58" s="30"/>
      <c r="I58" s="30"/>
      <c r="J58" s="30"/>
      <c r="K58" s="30"/>
      <c r="L58" s="30"/>
      <c r="M58" s="30"/>
    </row>
    <row r="59" spans="2:13" x14ac:dyDescent="0.35">
      <c r="B59" s="30"/>
      <c r="C59" s="30"/>
      <c r="D59" s="30"/>
      <c r="E59" s="30"/>
      <c r="F59" s="30"/>
      <c r="G59" s="30"/>
      <c r="H59" s="30"/>
      <c r="I59" s="30"/>
      <c r="J59" s="30"/>
      <c r="K59" s="30"/>
      <c r="L59" s="30"/>
      <c r="M59" s="30"/>
    </row>
    <row r="60" spans="2:13" x14ac:dyDescent="0.35">
      <c r="B60" s="30"/>
      <c r="C60" s="30"/>
      <c r="D60" s="30"/>
      <c r="E60" s="30"/>
      <c r="F60" s="30"/>
      <c r="G60" s="30"/>
      <c r="H60" s="30"/>
      <c r="I60" s="30"/>
      <c r="J60" s="30"/>
      <c r="K60" s="30"/>
      <c r="L60" s="30"/>
      <c r="M60" s="30"/>
    </row>
    <row r="61" spans="2:13" x14ac:dyDescent="0.35">
      <c r="B61" s="30"/>
      <c r="C61" s="30"/>
      <c r="D61" s="30"/>
      <c r="E61" s="30"/>
      <c r="F61" s="30"/>
      <c r="G61" s="30"/>
      <c r="H61" s="30"/>
      <c r="I61" s="30"/>
      <c r="J61" s="30"/>
      <c r="K61" s="30"/>
      <c r="L61" s="30"/>
      <c r="M61" s="30"/>
    </row>
    <row r="62" spans="2:13" x14ac:dyDescent="0.35">
      <c r="B62" s="30"/>
      <c r="C62" s="30"/>
      <c r="D62" s="30"/>
      <c r="E62" s="30"/>
      <c r="F62" s="30"/>
      <c r="G62" s="30"/>
      <c r="H62" s="30"/>
      <c r="I62" s="30"/>
      <c r="J62" s="30"/>
      <c r="K62" s="30"/>
      <c r="L62" s="30"/>
      <c r="M62" s="30"/>
    </row>
    <row r="63" spans="2:13" x14ac:dyDescent="0.35">
      <c r="B63" s="30"/>
      <c r="C63" s="30"/>
      <c r="D63" s="30"/>
      <c r="E63" s="30"/>
      <c r="F63" s="30"/>
      <c r="G63" s="30"/>
      <c r="H63" s="30"/>
      <c r="I63" s="30"/>
      <c r="J63" s="30"/>
      <c r="K63" s="30"/>
      <c r="L63" s="30"/>
      <c r="M63" s="30"/>
    </row>
    <row r="64" spans="2:13" x14ac:dyDescent="0.35">
      <c r="B64" s="30"/>
      <c r="C64" s="30"/>
      <c r="D64" s="30"/>
      <c r="E64" s="30"/>
      <c r="F64" s="30"/>
      <c r="G64" s="30"/>
      <c r="H64" s="30"/>
      <c r="I64" s="30"/>
      <c r="J64" s="30"/>
      <c r="K64" s="30"/>
      <c r="L64" s="30"/>
      <c r="M64" s="30"/>
    </row>
    <row r="65" spans="2:13" x14ac:dyDescent="0.35">
      <c r="B65" s="30"/>
      <c r="C65" s="30"/>
      <c r="D65" s="30"/>
      <c r="E65" s="30"/>
      <c r="F65" s="30"/>
      <c r="G65" s="30"/>
      <c r="H65" s="30"/>
      <c r="I65" s="30"/>
      <c r="J65" s="30"/>
      <c r="K65" s="30"/>
      <c r="L65" s="30"/>
      <c r="M65" s="30"/>
    </row>
    <row r="66" spans="2:13" x14ac:dyDescent="0.35">
      <c r="B66" s="30"/>
      <c r="C66" s="30"/>
      <c r="D66" s="30"/>
      <c r="E66" s="30"/>
      <c r="F66" s="30"/>
      <c r="G66" s="30"/>
      <c r="H66" s="30"/>
      <c r="I66" s="30"/>
      <c r="J66" s="30"/>
      <c r="K66" s="30"/>
      <c r="L66" s="30"/>
      <c r="M66" s="30"/>
    </row>
    <row r="67" spans="2:13" x14ac:dyDescent="0.35">
      <c r="B67" s="30"/>
      <c r="C67" s="30"/>
      <c r="D67" s="30"/>
      <c r="E67" s="30"/>
      <c r="F67" s="30"/>
      <c r="G67" s="30"/>
      <c r="H67" s="30"/>
      <c r="I67" s="30"/>
      <c r="J67" s="30"/>
      <c r="K67" s="30"/>
      <c r="L67" s="30"/>
      <c r="M67" s="30"/>
    </row>
    <row r="68" spans="2:13" x14ac:dyDescent="0.35">
      <c r="B68" s="30"/>
      <c r="C68" s="30"/>
      <c r="D68" s="30"/>
      <c r="E68" s="30"/>
      <c r="F68" s="30"/>
      <c r="G68" s="30"/>
      <c r="H68" s="30"/>
      <c r="I68" s="30"/>
      <c r="J68" s="30"/>
      <c r="K68" s="30"/>
      <c r="L68" s="30"/>
      <c r="M68" s="30"/>
    </row>
    <row r="69" spans="2:13" x14ac:dyDescent="0.35">
      <c r="B69" s="30"/>
      <c r="C69" s="30"/>
      <c r="D69" s="30"/>
      <c r="E69" s="30"/>
      <c r="F69" s="30"/>
      <c r="G69" s="30"/>
      <c r="H69" s="30"/>
      <c r="I69" s="30"/>
      <c r="J69" s="30"/>
      <c r="K69" s="30"/>
      <c r="L69" s="30"/>
      <c r="M69" s="30"/>
    </row>
    <row r="70" spans="2:13" x14ac:dyDescent="0.35">
      <c r="B70" s="30"/>
      <c r="C70" s="30"/>
      <c r="D70" s="30"/>
      <c r="E70" s="30"/>
      <c r="F70" s="30"/>
      <c r="G70" s="30"/>
      <c r="H70" s="30"/>
      <c r="I70" s="30"/>
      <c r="J70" s="30"/>
      <c r="K70" s="30"/>
      <c r="L70" s="30"/>
      <c r="M70" s="30"/>
    </row>
    <row r="71" spans="2:13" x14ac:dyDescent="0.35">
      <c r="B71" s="30"/>
      <c r="C71" s="30"/>
      <c r="D71" s="30"/>
      <c r="E71" s="30"/>
      <c r="F71" s="30"/>
      <c r="G71" s="30"/>
      <c r="H71" s="30"/>
      <c r="I71" s="30"/>
      <c r="J71" s="30"/>
      <c r="K71" s="30"/>
      <c r="L71" s="30"/>
      <c r="M71" s="30"/>
    </row>
    <row r="72" spans="2:13" x14ac:dyDescent="0.35">
      <c r="B72" s="30"/>
      <c r="C72" s="30"/>
      <c r="D72" s="30"/>
      <c r="E72" s="30"/>
      <c r="F72" s="30"/>
      <c r="G72" s="30"/>
      <c r="H72" s="30"/>
      <c r="I72" s="30"/>
      <c r="J72" s="30"/>
      <c r="K72" s="30"/>
      <c r="L72" s="30"/>
      <c r="M72" s="30"/>
    </row>
    <row r="73" spans="2:13" x14ac:dyDescent="0.35">
      <c r="B73" s="30"/>
      <c r="C73" s="30"/>
      <c r="D73" s="30"/>
      <c r="E73" s="30"/>
      <c r="F73" s="30"/>
      <c r="G73" s="30"/>
      <c r="H73" s="30"/>
      <c r="I73" s="30"/>
      <c r="J73" s="30"/>
      <c r="K73" s="30"/>
      <c r="L73" s="30"/>
      <c r="M73" s="30"/>
    </row>
    <row r="74" spans="2:13" x14ac:dyDescent="0.35">
      <c r="B74" s="30"/>
      <c r="C74" s="30"/>
      <c r="D74" s="30"/>
      <c r="E74" s="30"/>
      <c r="F74" s="30"/>
      <c r="G74" s="30"/>
      <c r="H74" s="30"/>
      <c r="I74" s="30"/>
      <c r="J74" s="30"/>
      <c r="K74" s="30"/>
      <c r="L74" s="30"/>
      <c r="M74" s="30"/>
    </row>
    <row r="75" spans="2:13" x14ac:dyDescent="0.35">
      <c r="B75" s="30"/>
      <c r="C75" s="30"/>
      <c r="D75" s="30"/>
      <c r="E75" s="30"/>
      <c r="F75" s="30"/>
      <c r="G75" s="30"/>
      <c r="H75" s="30"/>
      <c r="I75" s="30"/>
      <c r="J75" s="30"/>
      <c r="K75" s="30"/>
      <c r="L75" s="30"/>
      <c r="M75" s="30"/>
    </row>
    <row r="76" spans="2:13" x14ac:dyDescent="0.35">
      <c r="B76" s="30"/>
      <c r="C76" s="30"/>
      <c r="D76" s="30"/>
      <c r="E76" s="30"/>
      <c r="F76" s="30"/>
      <c r="G76" s="30"/>
      <c r="H76" s="30"/>
      <c r="I76" s="30"/>
      <c r="J76" s="30"/>
      <c r="K76" s="30"/>
      <c r="L76" s="30"/>
      <c r="M76" s="30"/>
    </row>
    <row r="77" spans="2:13" x14ac:dyDescent="0.35">
      <c r="B77" s="30"/>
      <c r="C77" s="30"/>
      <c r="D77" s="30"/>
      <c r="E77" s="30"/>
      <c r="F77" s="30"/>
      <c r="G77" s="30"/>
      <c r="H77" s="30"/>
      <c r="I77" s="30"/>
      <c r="J77" s="30"/>
      <c r="K77" s="30"/>
      <c r="L77" s="30"/>
      <c r="M77" s="30"/>
    </row>
    <row r="78" spans="2:13" x14ac:dyDescent="0.35">
      <c r="B78" s="30"/>
      <c r="C78" s="30"/>
      <c r="D78" s="30"/>
      <c r="E78" s="30"/>
      <c r="F78" s="30"/>
      <c r="G78" s="30"/>
      <c r="H78" s="30"/>
      <c r="I78" s="30"/>
      <c r="J78" s="30"/>
      <c r="K78" s="30"/>
      <c r="L78" s="30"/>
      <c r="M78" s="30"/>
    </row>
    <row r="79" spans="2:13" x14ac:dyDescent="0.35">
      <c r="B79" s="30"/>
      <c r="C79" s="30"/>
      <c r="D79" s="30"/>
      <c r="E79" s="30"/>
      <c r="F79" s="30"/>
      <c r="G79" s="30"/>
      <c r="H79" s="30"/>
      <c r="I79" s="30"/>
      <c r="J79" s="30"/>
      <c r="K79" s="30"/>
      <c r="L79" s="30"/>
      <c r="M79" s="30"/>
    </row>
    <row r="80" spans="2:13" x14ac:dyDescent="0.35">
      <c r="B80" s="30"/>
      <c r="C80" s="30"/>
      <c r="D80" s="30"/>
      <c r="E80" s="30"/>
      <c r="F80" s="30"/>
      <c r="G80" s="30"/>
      <c r="H80" s="30"/>
      <c r="I80" s="30"/>
      <c r="J80" s="30"/>
      <c r="K80" s="30"/>
      <c r="L80" s="30"/>
      <c r="M80" s="30"/>
    </row>
    <row r="81" spans="2:13" x14ac:dyDescent="0.35">
      <c r="B81" s="30"/>
      <c r="C81" s="30"/>
      <c r="D81" s="30"/>
      <c r="E81" s="30"/>
      <c r="F81" s="30"/>
      <c r="G81" s="30"/>
      <c r="H81" s="30"/>
      <c r="I81" s="30"/>
      <c r="J81" s="30"/>
      <c r="K81" s="30"/>
      <c r="L81" s="30"/>
      <c r="M81" s="30"/>
    </row>
    <row r="82" spans="2:13" x14ac:dyDescent="0.35">
      <c r="B82" s="30"/>
      <c r="C82" s="30"/>
      <c r="D82" s="30"/>
      <c r="E82" s="30"/>
      <c r="F82" s="30"/>
      <c r="G82" s="30"/>
      <c r="H82" s="30"/>
      <c r="I82" s="30"/>
      <c r="J82" s="30"/>
      <c r="K82" s="30"/>
      <c r="L82" s="30"/>
      <c r="M82" s="30"/>
    </row>
    <row r="83" spans="2:13" x14ac:dyDescent="0.35">
      <c r="B83" s="30"/>
      <c r="C83" s="30"/>
      <c r="D83" s="30"/>
      <c r="E83" s="30"/>
      <c r="F83" s="30"/>
      <c r="G83" s="30"/>
      <c r="H83" s="30"/>
      <c r="I83" s="30"/>
      <c r="J83" s="30"/>
      <c r="K83" s="30"/>
      <c r="L83" s="30"/>
      <c r="M83" s="30"/>
    </row>
    <row r="84" spans="2:13" x14ac:dyDescent="0.35">
      <c r="B84" s="30"/>
      <c r="C84" s="30"/>
      <c r="D84" s="30"/>
      <c r="E84" s="30"/>
      <c r="F84" s="30"/>
      <c r="G84" s="30"/>
      <c r="H84" s="30"/>
      <c r="I84" s="30"/>
      <c r="J84" s="30"/>
      <c r="K84" s="30"/>
      <c r="L84" s="30"/>
      <c r="M84" s="30"/>
    </row>
    <row r="85" spans="2:13" x14ac:dyDescent="0.35">
      <c r="B85" s="30"/>
      <c r="C85" s="30"/>
      <c r="D85" s="30"/>
      <c r="E85" s="30"/>
      <c r="F85" s="30"/>
      <c r="G85" s="30"/>
      <c r="H85" s="30"/>
      <c r="I85" s="30"/>
      <c r="J85" s="30"/>
      <c r="K85" s="30"/>
      <c r="L85" s="30"/>
      <c r="M85" s="30"/>
    </row>
    <row r="86" spans="2:13" x14ac:dyDescent="0.35">
      <c r="B86" s="30"/>
      <c r="C86" s="30"/>
      <c r="D86" s="30"/>
      <c r="E86" s="30"/>
      <c r="F86" s="30"/>
      <c r="G86" s="30"/>
      <c r="H86" s="30"/>
      <c r="I86" s="30"/>
      <c r="J86" s="30"/>
      <c r="K86" s="30"/>
      <c r="L86" s="30"/>
      <c r="M86" s="30"/>
    </row>
    <row r="87" spans="2:13" x14ac:dyDescent="0.35">
      <c r="B87" s="30"/>
      <c r="C87" s="30"/>
      <c r="D87" s="30"/>
      <c r="E87" s="30"/>
      <c r="F87" s="30"/>
      <c r="G87" s="30"/>
      <c r="H87" s="30"/>
      <c r="I87" s="30"/>
      <c r="J87" s="30"/>
      <c r="K87" s="30"/>
      <c r="L87" s="30"/>
      <c r="M87" s="30"/>
    </row>
    <row r="88" spans="2:13" x14ac:dyDescent="0.35">
      <c r="B88" s="30"/>
      <c r="C88" s="30"/>
      <c r="D88" s="30"/>
      <c r="E88" s="30"/>
      <c r="F88" s="30"/>
      <c r="G88" s="30"/>
      <c r="H88" s="30"/>
      <c r="I88" s="30"/>
      <c r="J88" s="30"/>
      <c r="K88" s="30"/>
      <c r="L88" s="30"/>
      <c r="M88" s="30"/>
    </row>
    <row r="89" spans="2:13" x14ac:dyDescent="0.35">
      <c r="B89" s="30"/>
      <c r="C89" s="30"/>
      <c r="D89" s="30"/>
      <c r="E89" s="30"/>
      <c r="F89" s="30"/>
      <c r="G89" s="30"/>
      <c r="H89" s="30"/>
      <c r="I89" s="30"/>
      <c r="J89" s="30"/>
      <c r="K89" s="30"/>
      <c r="L89" s="30"/>
      <c r="M89" s="30"/>
    </row>
    <row r="90" spans="2:13" x14ac:dyDescent="0.35">
      <c r="B90" s="30"/>
      <c r="C90" s="30"/>
      <c r="D90" s="30"/>
      <c r="E90" s="30"/>
      <c r="F90" s="30"/>
      <c r="G90" s="30"/>
      <c r="H90" s="30"/>
      <c r="I90" s="30"/>
      <c r="J90" s="30"/>
      <c r="K90" s="30"/>
      <c r="L90" s="30"/>
      <c r="M90" s="30"/>
    </row>
    <row r="91" spans="2:13" x14ac:dyDescent="0.35">
      <c r="B91" s="30"/>
      <c r="C91" s="30"/>
      <c r="D91" s="30"/>
      <c r="E91" s="30"/>
      <c r="F91" s="30"/>
      <c r="G91" s="30"/>
      <c r="H91" s="30"/>
      <c r="I91" s="30"/>
      <c r="J91" s="30"/>
      <c r="K91" s="30"/>
      <c r="L91" s="30"/>
      <c r="M91" s="30"/>
    </row>
    <row r="92" spans="2:13" x14ac:dyDescent="0.35">
      <c r="B92" s="30"/>
      <c r="C92" s="30"/>
      <c r="D92" s="30"/>
      <c r="E92" s="30"/>
      <c r="F92" s="30"/>
      <c r="G92" s="30"/>
      <c r="H92" s="30"/>
      <c r="I92" s="30"/>
      <c r="J92" s="30"/>
      <c r="K92" s="30"/>
      <c r="L92" s="30"/>
      <c r="M92" s="30"/>
    </row>
    <row r="93" spans="2:13" x14ac:dyDescent="0.35">
      <c r="B93" s="30"/>
      <c r="C93" s="30"/>
      <c r="D93" s="30"/>
      <c r="E93" s="30"/>
      <c r="F93" s="30"/>
      <c r="G93" s="30"/>
      <c r="H93" s="30"/>
      <c r="I93" s="30"/>
      <c r="J93" s="30"/>
      <c r="K93" s="30"/>
      <c r="L93" s="30"/>
      <c r="M93" s="30"/>
    </row>
    <row r="94" spans="2:13" x14ac:dyDescent="0.35">
      <c r="B94" s="30"/>
      <c r="C94" s="30"/>
      <c r="D94" s="30"/>
      <c r="E94" s="30"/>
      <c r="F94" s="30"/>
      <c r="G94" s="30"/>
      <c r="H94" s="30"/>
      <c r="I94" s="30"/>
      <c r="J94" s="30"/>
      <c r="K94" s="30"/>
      <c r="L94" s="30"/>
      <c r="M94" s="30"/>
    </row>
    <row r="95" spans="2:13" x14ac:dyDescent="0.35">
      <c r="B95" s="30"/>
      <c r="C95" s="30"/>
      <c r="D95" s="30"/>
      <c r="E95" s="30"/>
      <c r="F95" s="30"/>
      <c r="G95" s="30"/>
      <c r="H95" s="30"/>
      <c r="I95" s="30"/>
      <c r="J95" s="30"/>
      <c r="K95" s="30"/>
      <c r="L95" s="30"/>
      <c r="M95" s="30"/>
    </row>
    <row r="96" spans="2:13" x14ac:dyDescent="0.35">
      <c r="B96" s="30"/>
      <c r="C96" s="30"/>
      <c r="D96" s="30"/>
      <c r="E96" s="30"/>
      <c r="F96" s="30"/>
      <c r="G96" s="30"/>
      <c r="H96" s="30"/>
      <c r="I96" s="30"/>
      <c r="J96" s="30"/>
      <c r="K96" s="30"/>
      <c r="L96" s="30"/>
      <c r="M96" s="30"/>
    </row>
  </sheetData>
  <sheetProtection algorithmName="SHA-512" hashValue="ui3Fs8RsCVuf3DeOzn6p/M3SCrxNUlN1No/84DvXn/udB6+NLu+D4Zumsz+llTNjaICkCs+ubKZTNmXxghE/9w==" saltValue="+e5L0kfjHk9XhWx/o0LUCA==" spinCount="100000" sheet="1" objects="1" scenarios="1" selectLockedCells="1" selectUnlockedCells="1"/>
  <mergeCells count="7">
    <mergeCell ref="B10:M10"/>
    <mergeCell ref="B11:M11"/>
    <mergeCell ref="B3:AE4"/>
    <mergeCell ref="B6:M6"/>
    <mergeCell ref="B7:M7"/>
    <mergeCell ref="B8:M8"/>
    <mergeCell ref="B9:M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3"/>
  <sheetViews>
    <sheetView showRowColHeaders="0" zoomScaleNormal="100" workbookViewId="0"/>
  </sheetViews>
  <sheetFormatPr defaultColWidth="9.1796875" defaultRowHeight="14.5" x14ac:dyDescent="0.35"/>
  <cols>
    <col min="1" max="2" width="9.1796875" style="137"/>
    <col min="3" max="3" width="10.81640625" style="137" customWidth="1"/>
    <col min="4" max="12" width="9.1796875" style="137"/>
    <col min="13" max="13" width="11.1796875" style="137" customWidth="1"/>
    <col min="14" max="14" width="2" style="137" customWidth="1"/>
    <col min="15" max="16384" width="9.1796875" style="137"/>
  </cols>
  <sheetData>
    <row r="3" spans="1:14" ht="12.75" customHeight="1" x14ac:dyDescent="0.35">
      <c r="B3" s="221" t="s">
        <v>13</v>
      </c>
      <c r="C3" s="222"/>
      <c r="D3" s="222"/>
      <c r="E3" s="222"/>
      <c r="F3" s="222"/>
      <c r="G3" s="222"/>
      <c r="H3" s="222"/>
      <c r="I3" s="222"/>
      <c r="J3" s="222"/>
      <c r="K3" s="222"/>
      <c r="L3" s="222"/>
      <c r="M3" s="222"/>
      <c r="N3" s="223"/>
    </row>
    <row r="4" spans="1:14" ht="9.75" customHeight="1" x14ac:dyDescent="0.35">
      <c r="B4" s="221"/>
      <c r="C4" s="222"/>
      <c r="D4" s="222"/>
      <c r="E4" s="222"/>
      <c r="F4" s="222"/>
      <c r="G4" s="222"/>
      <c r="H4" s="222"/>
      <c r="I4" s="222"/>
      <c r="J4" s="222"/>
      <c r="K4" s="222"/>
      <c r="L4" s="222"/>
      <c r="M4" s="222"/>
      <c r="N4" s="223"/>
    </row>
    <row r="5" spans="1:14" ht="15.75" customHeight="1" thickBot="1" x14ac:dyDescent="0.4">
      <c r="B5" s="221"/>
      <c r="C5" s="222"/>
      <c r="D5" s="222"/>
      <c r="E5" s="222"/>
      <c r="F5" s="222"/>
      <c r="G5" s="222"/>
      <c r="H5" s="222"/>
      <c r="I5" s="222"/>
      <c r="J5" s="222"/>
      <c r="K5" s="222"/>
      <c r="L5" s="222"/>
      <c r="M5" s="222"/>
      <c r="N5" s="223"/>
    </row>
    <row r="6" spans="1:14" ht="15" thickTop="1" x14ac:dyDescent="0.35">
      <c r="B6" s="199"/>
      <c r="C6" s="200"/>
      <c r="D6" s="200"/>
      <c r="E6" s="200"/>
      <c r="F6" s="200"/>
      <c r="G6" s="200"/>
      <c r="H6" s="200"/>
      <c r="I6" s="200"/>
      <c r="J6" s="200"/>
      <c r="K6" s="200"/>
      <c r="L6" s="200"/>
      <c r="M6" s="200"/>
      <c r="N6" s="201"/>
    </row>
    <row r="7" spans="1:14" x14ac:dyDescent="0.35">
      <c r="A7" s="138"/>
      <c r="B7" s="246" t="s">
        <v>14</v>
      </c>
      <c r="C7" s="247"/>
      <c r="D7" s="247"/>
      <c r="E7" s="247"/>
      <c r="F7" s="247"/>
      <c r="G7" s="247"/>
      <c r="H7" s="247"/>
      <c r="I7" s="247"/>
      <c r="J7" s="247"/>
      <c r="K7" s="247"/>
      <c r="L7" s="247"/>
      <c r="M7" s="247"/>
      <c r="N7" s="122"/>
    </row>
    <row r="8" spans="1:14" x14ac:dyDescent="0.35">
      <c r="B8" s="202"/>
      <c r="C8" s="203"/>
      <c r="D8" s="203"/>
      <c r="E8" s="203"/>
      <c r="F8" s="203"/>
      <c r="G8" s="203"/>
      <c r="H8" s="203"/>
      <c r="I8" s="203"/>
      <c r="J8" s="203"/>
      <c r="K8" s="203"/>
      <c r="L8" s="203"/>
      <c r="M8" s="203"/>
      <c r="N8" s="122"/>
    </row>
    <row r="9" spans="1:14" x14ac:dyDescent="0.35">
      <c r="B9" s="202"/>
      <c r="C9" s="203"/>
      <c r="D9" s="203"/>
      <c r="E9" s="203"/>
      <c r="F9" s="203"/>
      <c r="G9" s="203"/>
      <c r="H9" s="203"/>
      <c r="I9" s="203"/>
      <c r="J9" s="203"/>
      <c r="K9" s="203"/>
      <c r="L9" s="203"/>
      <c r="M9" s="203"/>
      <c r="N9" s="122"/>
    </row>
    <row r="10" spans="1:14" x14ac:dyDescent="0.35">
      <c r="B10" s="202"/>
      <c r="C10" s="203"/>
      <c r="D10" s="203"/>
      <c r="E10" s="203"/>
      <c r="F10" s="203"/>
      <c r="G10" s="203"/>
      <c r="H10" s="203"/>
      <c r="I10" s="203"/>
      <c r="J10" s="203"/>
      <c r="K10" s="203"/>
      <c r="L10" s="203"/>
      <c r="M10" s="203"/>
      <c r="N10" s="122"/>
    </row>
    <row r="11" spans="1:14" x14ac:dyDescent="0.35">
      <c r="B11" s="202"/>
      <c r="C11" s="203"/>
      <c r="D11" s="203"/>
      <c r="E11" s="203"/>
      <c r="F11" s="203"/>
      <c r="G11" s="203"/>
      <c r="H11" s="203"/>
      <c r="I11" s="203"/>
      <c r="J11" s="203"/>
      <c r="K11" s="203"/>
      <c r="L11" s="203"/>
      <c r="M11" s="203"/>
      <c r="N11" s="122"/>
    </row>
    <row r="12" spans="1:14" x14ac:dyDescent="0.35">
      <c r="B12" s="202"/>
      <c r="C12" s="203"/>
      <c r="D12" s="203"/>
      <c r="E12" s="203"/>
      <c r="F12" s="203"/>
      <c r="G12" s="203"/>
      <c r="H12" s="203"/>
      <c r="I12" s="203"/>
      <c r="J12" s="203"/>
      <c r="K12" s="203"/>
      <c r="L12" s="203"/>
      <c r="M12" s="203"/>
      <c r="N12" s="122"/>
    </row>
    <row r="13" spans="1:14" x14ac:dyDescent="0.35">
      <c r="B13" s="202"/>
      <c r="C13" s="203"/>
      <c r="D13" s="203"/>
      <c r="E13" s="203"/>
      <c r="F13" s="203"/>
      <c r="G13" s="203"/>
      <c r="H13" s="203"/>
      <c r="I13" s="203"/>
      <c r="J13" s="203"/>
      <c r="K13" s="203"/>
      <c r="L13" s="203"/>
      <c r="M13" s="203"/>
      <c r="N13" s="122"/>
    </row>
    <row r="14" spans="1:14" x14ac:dyDescent="0.35">
      <c r="B14" s="202"/>
      <c r="C14" s="203"/>
      <c r="D14" s="203"/>
      <c r="E14" s="203"/>
      <c r="F14" s="203"/>
      <c r="G14" s="203"/>
      <c r="H14" s="203"/>
      <c r="I14" s="203"/>
      <c r="J14" s="203"/>
      <c r="K14" s="203"/>
      <c r="L14" s="203"/>
      <c r="M14" s="203"/>
      <c r="N14" s="122"/>
    </row>
    <row r="15" spans="1:14" x14ac:dyDescent="0.35">
      <c r="B15" s="202"/>
      <c r="C15" s="203"/>
      <c r="D15" s="203"/>
      <c r="E15" s="203"/>
      <c r="F15" s="203"/>
      <c r="G15" s="203"/>
      <c r="H15" s="203"/>
      <c r="I15" s="203"/>
      <c r="J15" s="203"/>
      <c r="K15" s="203"/>
      <c r="L15" s="203"/>
      <c r="M15" s="203"/>
      <c r="N15" s="122"/>
    </row>
    <row r="16" spans="1:14" x14ac:dyDescent="0.35">
      <c r="B16" s="202"/>
      <c r="C16" s="203"/>
      <c r="D16" s="203"/>
      <c r="E16" s="203"/>
      <c r="F16" s="203"/>
      <c r="G16" s="203"/>
      <c r="H16" s="203"/>
      <c r="I16" s="203"/>
      <c r="J16" s="203"/>
      <c r="K16" s="203"/>
      <c r="L16" s="203"/>
      <c r="M16" s="203"/>
      <c r="N16" s="122"/>
    </row>
    <row r="17" spans="1:19" x14ac:dyDescent="0.35">
      <c r="B17" s="202"/>
      <c r="C17" s="203"/>
      <c r="D17" s="203"/>
      <c r="E17" s="203"/>
      <c r="F17" s="203"/>
      <c r="G17" s="203"/>
      <c r="H17" s="203"/>
      <c r="I17" s="203"/>
      <c r="J17" s="203"/>
      <c r="K17" s="203"/>
      <c r="L17" s="203"/>
      <c r="M17" s="203"/>
      <c r="N17" s="122"/>
    </row>
    <row r="18" spans="1:19" x14ac:dyDescent="0.35">
      <c r="B18" s="202"/>
      <c r="C18" s="203"/>
      <c r="D18" s="203"/>
      <c r="E18" s="203"/>
      <c r="F18" s="203"/>
      <c r="G18" s="203"/>
      <c r="H18" s="203"/>
      <c r="I18" s="203"/>
      <c r="J18" s="203"/>
      <c r="K18" s="203"/>
      <c r="L18" s="203"/>
      <c r="M18" s="203"/>
      <c r="N18" s="122"/>
    </row>
    <row r="19" spans="1:19" x14ac:dyDescent="0.35">
      <c r="B19" s="202"/>
      <c r="C19" s="203"/>
      <c r="D19" s="203"/>
      <c r="E19" s="203"/>
      <c r="F19" s="203"/>
      <c r="G19" s="203"/>
      <c r="H19" s="203"/>
      <c r="I19" s="203"/>
      <c r="J19" s="203"/>
      <c r="K19" s="203"/>
      <c r="L19" s="203"/>
      <c r="M19" s="203"/>
      <c r="N19" s="122"/>
    </row>
    <row r="20" spans="1:19" ht="18" x14ac:dyDescent="0.35">
      <c r="A20" s="138"/>
      <c r="B20" s="123" t="s">
        <v>15</v>
      </c>
      <c r="C20" s="203"/>
      <c r="D20" s="203"/>
      <c r="E20" s="203"/>
      <c r="F20" s="203"/>
      <c r="G20" s="203"/>
      <c r="H20" s="203"/>
      <c r="I20" s="203"/>
      <c r="J20" s="203"/>
      <c r="K20" s="203"/>
      <c r="L20" s="203"/>
      <c r="M20" s="203"/>
      <c r="N20" s="122"/>
    </row>
    <row r="21" spans="1:19" x14ac:dyDescent="0.35">
      <c r="B21" s="202"/>
      <c r="C21" s="203"/>
      <c r="D21" s="203"/>
      <c r="E21" s="203"/>
      <c r="F21" s="203"/>
      <c r="G21" s="203"/>
      <c r="H21" s="203"/>
      <c r="I21" s="203"/>
      <c r="J21" s="203"/>
      <c r="K21" s="203"/>
      <c r="L21" s="203"/>
      <c r="M21" s="203"/>
      <c r="N21" s="122"/>
    </row>
    <row r="22" spans="1:19" x14ac:dyDescent="0.35">
      <c r="B22" s="202"/>
      <c r="C22" s="128" t="s">
        <v>16</v>
      </c>
      <c r="D22" s="203"/>
      <c r="E22" s="203"/>
      <c r="F22" s="203"/>
      <c r="G22" s="203"/>
      <c r="H22" s="203"/>
      <c r="I22" s="203"/>
      <c r="J22" s="203"/>
      <c r="K22" s="203"/>
      <c r="L22" s="203"/>
      <c r="M22" s="203"/>
      <c r="N22" s="122"/>
    </row>
    <row r="23" spans="1:19" x14ac:dyDescent="0.35">
      <c r="B23" s="202"/>
      <c r="C23" s="204"/>
      <c r="D23" s="205" t="s">
        <v>17</v>
      </c>
      <c r="E23" s="203"/>
      <c r="F23" s="203"/>
      <c r="G23" s="203"/>
      <c r="H23" s="203"/>
      <c r="I23" s="203"/>
      <c r="J23" s="203"/>
      <c r="K23" s="203"/>
      <c r="L23" s="203"/>
      <c r="M23" s="203"/>
      <c r="N23" s="122"/>
    </row>
    <row r="24" spans="1:19" x14ac:dyDescent="0.35">
      <c r="B24" s="202"/>
      <c r="C24" s="206"/>
      <c r="D24" s="205" t="s">
        <v>18</v>
      </c>
      <c r="E24" s="203"/>
      <c r="F24" s="203"/>
      <c r="G24" s="203"/>
      <c r="H24" s="203"/>
      <c r="I24" s="203"/>
      <c r="J24" s="203"/>
      <c r="K24" s="203"/>
      <c r="L24" s="203"/>
      <c r="M24" s="203"/>
      <c r="N24" s="122"/>
    </row>
    <row r="25" spans="1:19" ht="16.5" x14ac:dyDescent="0.45">
      <c r="B25" s="202"/>
      <c r="C25" s="207"/>
      <c r="D25" s="205" t="s">
        <v>19</v>
      </c>
      <c r="E25" s="203"/>
      <c r="F25" s="203"/>
      <c r="G25" s="203"/>
      <c r="H25" s="203"/>
      <c r="I25" s="203"/>
      <c r="J25" s="203"/>
      <c r="K25" s="203"/>
      <c r="L25" s="203"/>
      <c r="M25" s="203"/>
      <c r="N25" s="122"/>
      <c r="S25" s="208"/>
    </row>
    <row r="26" spans="1:19" ht="16.5" x14ac:dyDescent="0.45">
      <c r="B26" s="202"/>
      <c r="C26" s="203"/>
      <c r="D26" s="203"/>
      <c r="E26" s="203"/>
      <c r="F26" s="203"/>
      <c r="G26" s="203"/>
      <c r="H26" s="203"/>
      <c r="I26" s="203"/>
      <c r="J26" s="203"/>
      <c r="K26" s="203"/>
      <c r="L26" s="203"/>
      <c r="M26" s="203"/>
      <c r="N26" s="122"/>
      <c r="S26" s="209"/>
    </row>
    <row r="27" spans="1:19" ht="16.5" x14ac:dyDescent="0.45">
      <c r="A27" s="138"/>
      <c r="B27" s="246" t="s">
        <v>20</v>
      </c>
      <c r="C27" s="247"/>
      <c r="D27" s="247"/>
      <c r="E27" s="247"/>
      <c r="F27" s="247"/>
      <c r="G27" s="247"/>
      <c r="H27" s="247"/>
      <c r="I27" s="247"/>
      <c r="J27" s="247"/>
      <c r="K27" s="247"/>
      <c r="L27" s="247"/>
      <c r="M27" s="247"/>
      <c r="N27" s="122"/>
      <c r="S27" s="208"/>
    </row>
    <row r="28" spans="1:19" ht="9.75" customHeight="1" x14ac:dyDescent="0.45">
      <c r="B28" s="202"/>
      <c r="C28" s="203"/>
      <c r="D28" s="203"/>
      <c r="E28" s="203"/>
      <c r="F28" s="203"/>
      <c r="G28" s="203"/>
      <c r="H28" s="203"/>
      <c r="I28" s="203"/>
      <c r="J28" s="203"/>
      <c r="K28" s="203"/>
      <c r="L28" s="203"/>
      <c r="M28" s="203"/>
      <c r="N28" s="122"/>
      <c r="S28" s="208"/>
    </row>
    <row r="29" spans="1:19" x14ac:dyDescent="0.35">
      <c r="B29" s="202"/>
      <c r="C29" s="203"/>
      <c r="D29" s="203"/>
      <c r="E29" s="203"/>
      <c r="F29" s="203"/>
      <c r="G29" s="203"/>
      <c r="H29" s="203"/>
      <c r="I29" s="203"/>
      <c r="J29" s="203"/>
      <c r="K29" s="203"/>
      <c r="L29" s="203"/>
      <c r="M29" s="203"/>
      <c r="N29" s="122"/>
    </row>
    <row r="30" spans="1:19" x14ac:dyDescent="0.35">
      <c r="B30" s="202"/>
      <c r="C30" s="203"/>
      <c r="D30" s="203"/>
      <c r="E30" s="203"/>
      <c r="F30" s="203"/>
      <c r="G30" s="203"/>
      <c r="H30" s="203"/>
      <c r="I30" s="203"/>
      <c r="J30" s="203"/>
      <c r="K30" s="203"/>
      <c r="L30" s="203"/>
      <c r="M30" s="203"/>
      <c r="N30" s="122"/>
    </row>
    <row r="31" spans="1:19" x14ac:dyDescent="0.35">
      <c r="B31" s="202"/>
      <c r="C31" s="203"/>
      <c r="D31" s="203"/>
      <c r="E31" s="203"/>
      <c r="F31" s="203"/>
      <c r="G31" s="203"/>
      <c r="H31" s="203"/>
      <c r="I31" s="203"/>
      <c r="J31" s="203"/>
      <c r="K31" s="203"/>
      <c r="L31" s="203"/>
      <c r="M31" s="203"/>
      <c r="N31" s="122"/>
    </row>
    <row r="32" spans="1:19" x14ac:dyDescent="0.35">
      <c r="B32" s="202"/>
      <c r="C32" s="203"/>
      <c r="D32" s="203"/>
      <c r="E32" s="203"/>
      <c r="F32" s="203"/>
      <c r="G32" s="203"/>
      <c r="H32" s="203"/>
      <c r="I32" s="203"/>
      <c r="J32" s="203"/>
      <c r="K32" s="203"/>
      <c r="L32" s="203"/>
      <c r="M32" s="203"/>
      <c r="N32" s="122"/>
    </row>
    <row r="33" spans="1:14" x14ac:dyDescent="0.35">
      <c r="B33" s="202"/>
      <c r="C33" s="203"/>
      <c r="D33" s="203"/>
      <c r="E33" s="203"/>
      <c r="F33" s="203"/>
      <c r="G33" s="203"/>
      <c r="H33" s="203"/>
      <c r="I33" s="203"/>
      <c r="J33" s="203"/>
      <c r="K33" s="203"/>
      <c r="L33" s="203"/>
      <c r="M33" s="203"/>
      <c r="N33" s="122"/>
    </row>
    <row r="34" spans="1:14" x14ac:dyDescent="0.35">
      <c r="B34" s="202"/>
      <c r="C34" s="203"/>
      <c r="D34" s="203"/>
      <c r="E34" s="203"/>
      <c r="F34" s="203"/>
      <c r="G34" s="203"/>
      <c r="H34" s="203"/>
      <c r="I34" s="203"/>
      <c r="J34" s="203"/>
      <c r="K34" s="203"/>
      <c r="L34" s="203"/>
      <c r="M34" s="203"/>
      <c r="N34" s="122"/>
    </row>
    <row r="35" spans="1:14" x14ac:dyDescent="0.35">
      <c r="B35" s="202"/>
      <c r="C35" s="203"/>
      <c r="D35" s="203"/>
      <c r="E35" s="203"/>
      <c r="F35" s="203"/>
      <c r="G35" s="203"/>
      <c r="H35" s="203"/>
      <c r="I35" s="203"/>
      <c r="J35" s="203"/>
      <c r="K35" s="203"/>
      <c r="L35" s="203"/>
      <c r="M35" s="203"/>
      <c r="N35" s="122"/>
    </row>
    <row r="36" spans="1:14" ht="42.75" customHeight="1" x14ac:dyDescent="0.35">
      <c r="B36" s="202"/>
      <c r="C36" s="203"/>
      <c r="D36" s="203"/>
      <c r="E36" s="203"/>
      <c r="F36" s="203"/>
      <c r="G36" s="203"/>
      <c r="H36" s="203"/>
      <c r="I36" s="203"/>
      <c r="J36" s="203"/>
      <c r="K36" s="203"/>
      <c r="L36" s="203"/>
      <c r="M36" s="203"/>
      <c r="N36" s="122"/>
    </row>
    <row r="37" spans="1:14" ht="31.5" customHeight="1" x14ac:dyDescent="0.35">
      <c r="A37" s="138"/>
      <c r="B37" s="248" t="s">
        <v>21</v>
      </c>
      <c r="C37" s="248"/>
      <c r="D37" s="248"/>
      <c r="E37" s="248"/>
      <c r="F37" s="248"/>
      <c r="G37" s="248"/>
      <c r="H37" s="248"/>
      <c r="I37" s="248"/>
      <c r="J37" s="248"/>
      <c r="K37" s="248"/>
      <c r="L37" s="248"/>
      <c r="M37" s="248"/>
      <c r="N37" s="122"/>
    </row>
    <row r="38" spans="1:14" x14ac:dyDescent="0.35">
      <c r="B38" s="202"/>
      <c r="C38" s="203"/>
      <c r="D38" s="203"/>
      <c r="E38" s="203"/>
      <c r="F38" s="203"/>
      <c r="G38" s="203"/>
      <c r="H38" s="203"/>
      <c r="I38" s="203"/>
      <c r="J38" s="203"/>
      <c r="K38" s="203"/>
      <c r="L38" s="203"/>
      <c r="M38" s="203"/>
      <c r="N38" s="122"/>
    </row>
    <row r="39" spans="1:14" x14ac:dyDescent="0.35">
      <c r="B39" s="126" t="s">
        <v>22</v>
      </c>
      <c r="C39" s="210"/>
      <c r="D39" s="210"/>
      <c r="E39" s="210"/>
      <c r="F39" s="210"/>
      <c r="G39" s="210"/>
      <c r="H39" s="210"/>
      <c r="I39" s="210"/>
      <c r="J39" s="210"/>
      <c r="K39" s="210"/>
      <c r="L39" s="210"/>
      <c r="M39" s="210"/>
      <c r="N39" s="122"/>
    </row>
    <row r="40" spans="1:14" ht="72" customHeight="1" x14ac:dyDescent="0.35">
      <c r="A40" s="138"/>
      <c r="B40" s="248" t="s">
        <v>23</v>
      </c>
      <c r="C40" s="248"/>
      <c r="D40" s="248"/>
      <c r="E40" s="248"/>
      <c r="F40" s="248"/>
      <c r="G40" s="248"/>
      <c r="H40" s="248"/>
      <c r="I40" s="248"/>
      <c r="J40" s="248"/>
      <c r="K40" s="248"/>
      <c r="L40" s="248"/>
      <c r="M40" s="248"/>
      <c r="N40" s="122"/>
    </row>
    <row r="41" spans="1:14" ht="12.75" customHeight="1" x14ac:dyDescent="0.35">
      <c r="A41" s="138"/>
      <c r="B41" s="210"/>
      <c r="C41" s="210"/>
      <c r="D41" s="210"/>
      <c r="E41" s="210"/>
      <c r="F41" s="210"/>
      <c r="G41" s="210"/>
      <c r="H41" s="210"/>
      <c r="I41" s="210"/>
      <c r="J41" s="210"/>
      <c r="K41" s="210"/>
      <c r="L41" s="210"/>
      <c r="M41" s="210"/>
      <c r="N41" s="122"/>
    </row>
    <row r="42" spans="1:14" ht="18" x14ac:dyDescent="0.35">
      <c r="A42" s="138"/>
      <c r="B42" s="127" t="s">
        <v>24</v>
      </c>
      <c r="C42" s="210"/>
      <c r="D42" s="210"/>
      <c r="E42" s="210"/>
      <c r="F42" s="210"/>
      <c r="G42" s="210"/>
      <c r="H42" s="210"/>
      <c r="I42" s="210"/>
      <c r="J42" s="210"/>
      <c r="K42" s="210"/>
      <c r="L42" s="210"/>
      <c r="M42" s="210"/>
      <c r="N42" s="122"/>
    </row>
    <row r="43" spans="1:14" x14ac:dyDescent="0.35">
      <c r="A43" s="138"/>
      <c r="B43" s="210"/>
      <c r="C43" s="210"/>
      <c r="D43" s="210"/>
      <c r="E43" s="210"/>
      <c r="F43" s="210"/>
      <c r="G43" s="210"/>
      <c r="H43" s="210"/>
      <c r="I43" s="210"/>
      <c r="J43" s="210"/>
      <c r="K43" s="210"/>
      <c r="L43" s="210"/>
      <c r="M43" s="210"/>
      <c r="N43" s="122"/>
    </row>
    <row r="44" spans="1:14" x14ac:dyDescent="0.35">
      <c r="A44" s="138"/>
      <c r="B44" s="244" t="s">
        <v>25</v>
      </c>
      <c r="C44" s="245"/>
      <c r="D44" s="245"/>
      <c r="E44" s="245"/>
      <c r="F44" s="245"/>
      <c r="G44" s="245"/>
      <c r="H44" s="245"/>
      <c r="I44" s="245"/>
      <c r="J44" s="245"/>
      <c r="K44" s="245"/>
      <c r="L44" s="245"/>
      <c r="M44" s="245"/>
      <c r="N44" s="122"/>
    </row>
    <row r="45" spans="1:14" ht="9" customHeight="1" x14ac:dyDescent="0.35">
      <c r="A45" s="138"/>
      <c r="B45" s="210"/>
      <c r="C45" s="210"/>
      <c r="D45" s="210"/>
      <c r="E45" s="210"/>
      <c r="F45" s="210"/>
      <c r="G45" s="210"/>
      <c r="H45" s="210"/>
      <c r="I45" s="210"/>
      <c r="J45" s="210"/>
      <c r="K45" s="210"/>
      <c r="L45" s="210"/>
      <c r="M45" s="210"/>
      <c r="N45" s="122"/>
    </row>
    <row r="46" spans="1:14" x14ac:dyDescent="0.35">
      <c r="A46" s="138"/>
      <c r="B46" s="232" t="s">
        <v>26</v>
      </c>
      <c r="C46" s="233"/>
      <c r="D46" s="233"/>
      <c r="E46" s="233"/>
      <c r="F46" s="233"/>
      <c r="G46" s="233"/>
      <c r="H46" s="233"/>
      <c r="I46" s="233"/>
      <c r="J46" s="233"/>
      <c r="K46" s="233"/>
      <c r="L46" s="233"/>
      <c r="M46" s="233"/>
      <c r="N46" s="122"/>
    </row>
    <row r="47" spans="1:14" ht="45" customHeight="1" x14ac:dyDescent="0.35">
      <c r="A47" s="138"/>
      <c r="B47" s="243" t="s">
        <v>27</v>
      </c>
      <c r="C47" s="243"/>
      <c r="D47" s="243"/>
      <c r="E47" s="243"/>
      <c r="F47" s="243"/>
      <c r="G47" s="243"/>
      <c r="H47" s="243"/>
      <c r="I47" s="243"/>
      <c r="J47" s="243"/>
      <c r="K47" s="243"/>
      <c r="L47" s="243"/>
      <c r="M47" s="243"/>
      <c r="N47" s="122"/>
    </row>
    <row r="48" spans="1:14" ht="43.5" customHeight="1" x14ac:dyDescent="0.35">
      <c r="A48" s="138"/>
      <c r="B48" s="243" t="s">
        <v>28</v>
      </c>
      <c r="C48" s="243"/>
      <c r="D48" s="243"/>
      <c r="E48" s="243"/>
      <c r="F48" s="243"/>
      <c r="G48" s="243"/>
      <c r="H48" s="243"/>
      <c r="I48" s="243"/>
      <c r="J48" s="243"/>
      <c r="K48" s="243"/>
      <c r="L48" s="243"/>
      <c r="M48" s="243"/>
      <c r="N48" s="122"/>
    </row>
    <row r="49" spans="1:14" ht="15.75" customHeight="1" x14ac:dyDescent="0.35">
      <c r="A49" s="138"/>
      <c r="B49" s="243" t="s">
        <v>29</v>
      </c>
      <c r="C49" s="243"/>
      <c r="D49" s="243"/>
      <c r="E49" s="243"/>
      <c r="F49" s="243"/>
      <c r="G49" s="243"/>
      <c r="H49" s="243"/>
      <c r="I49" s="243"/>
      <c r="J49" s="243"/>
      <c r="K49" s="243"/>
      <c r="L49" s="243"/>
      <c r="M49" s="243"/>
      <c r="N49" s="122"/>
    </row>
    <row r="50" spans="1:14" ht="90" customHeight="1" x14ac:dyDescent="0.35">
      <c r="A50" s="138"/>
      <c r="B50" s="243" t="s">
        <v>30</v>
      </c>
      <c r="C50" s="243"/>
      <c r="D50" s="243"/>
      <c r="E50" s="243"/>
      <c r="F50" s="243"/>
      <c r="G50" s="243"/>
      <c r="H50" s="243"/>
      <c r="I50" s="243"/>
      <c r="J50" s="243"/>
      <c r="K50" s="243"/>
      <c r="L50" s="243"/>
      <c r="M50" s="243"/>
      <c r="N50" s="122"/>
    </row>
    <row r="51" spans="1:14" ht="33.75" customHeight="1" x14ac:dyDescent="0.35">
      <c r="B51" s="236" t="s">
        <v>31</v>
      </c>
      <c r="C51" s="237"/>
      <c r="D51" s="237"/>
      <c r="E51" s="237"/>
      <c r="F51" s="237"/>
      <c r="G51" s="237"/>
      <c r="H51" s="237"/>
      <c r="I51" s="237"/>
      <c r="J51" s="237"/>
      <c r="K51" s="237"/>
      <c r="L51" s="237"/>
      <c r="M51" s="237"/>
      <c r="N51" s="122"/>
    </row>
    <row r="52" spans="1:14" ht="46.5" customHeight="1" x14ac:dyDescent="0.35">
      <c r="B52" s="234" t="s">
        <v>32</v>
      </c>
      <c r="C52" s="235"/>
      <c r="D52" s="235"/>
      <c r="E52" s="235"/>
      <c r="F52" s="235"/>
      <c r="G52" s="235"/>
      <c r="H52" s="235"/>
      <c r="I52" s="235"/>
      <c r="J52" s="235"/>
      <c r="K52" s="235"/>
      <c r="L52" s="235"/>
      <c r="M52" s="235"/>
      <c r="N52" s="122"/>
    </row>
    <row r="53" spans="1:14" ht="61.5" customHeight="1" x14ac:dyDescent="0.35">
      <c r="B53" s="234" t="s">
        <v>33</v>
      </c>
      <c r="C53" s="235"/>
      <c r="D53" s="235"/>
      <c r="E53" s="235"/>
      <c r="F53" s="235"/>
      <c r="G53" s="235"/>
      <c r="H53" s="235"/>
      <c r="I53" s="235"/>
      <c r="J53" s="235"/>
      <c r="K53" s="235"/>
      <c r="L53" s="235"/>
      <c r="M53" s="235"/>
      <c r="N53" s="122"/>
    </row>
    <row r="54" spans="1:14" x14ac:dyDescent="0.35">
      <c r="B54" s="232" t="s">
        <v>34</v>
      </c>
      <c r="C54" s="233"/>
      <c r="D54" s="233"/>
      <c r="E54" s="233"/>
      <c r="F54" s="233"/>
      <c r="G54" s="233"/>
      <c r="H54" s="233"/>
      <c r="I54" s="233"/>
      <c r="J54" s="233"/>
      <c r="K54" s="233"/>
      <c r="L54" s="233"/>
      <c r="M54" s="233"/>
      <c r="N54" s="122"/>
    </row>
    <row r="55" spans="1:14" x14ac:dyDescent="0.35">
      <c r="B55" s="197"/>
      <c r="C55" s="210"/>
      <c r="D55" s="210"/>
      <c r="E55" s="210"/>
      <c r="F55" s="210"/>
      <c r="G55" s="210"/>
      <c r="H55" s="210"/>
      <c r="I55" s="210"/>
      <c r="J55" s="210"/>
      <c r="K55" s="210"/>
      <c r="L55" s="210"/>
      <c r="M55" s="210"/>
      <c r="N55" s="122"/>
    </row>
    <row r="56" spans="1:14" ht="33" customHeight="1" x14ac:dyDescent="0.35">
      <c r="B56" s="236" t="s">
        <v>35</v>
      </c>
      <c r="C56" s="237"/>
      <c r="D56" s="237"/>
      <c r="E56" s="237"/>
      <c r="F56" s="237"/>
      <c r="G56" s="237"/>
      <c r="H56" s="237"/>
      <c r="I56" s="237"/>
      <c r="J56" s="237"/>
      <c r="K56" s="237"/>
      <c r="L56" s="237"/>
      <c r="M56" s="237"/>
      <c r="N56" s="122"/>
    </row>
    <row r="57" spans="1:14" x14ac:dyDescent="0.35">
      <c r="B57" s="197" t="s">
        <v>36</v>
      </c>
      <c r="C57" s="210"/>
      <c r="D57" s="210"/>
      <c r="E57" s="210"/>
      <c r="F57" s="210"/>
      <c r="G57" s="210"/>
      <c r="H57" s="210"/>
      <c r="I57" s="210"/>
      <c r="J57" s="210"/>
      <c r="K57" s="210"/>
      <c r="L57" s="210"/>
      <c r="M57" s="210"/>
      <c r="N57" s="122"/>
    </row>
    <row r="58" spans="1:14" ht="47.25" customHeight="1" x14ac:dyDescent="0.35">
      <c r="B58" s="234" t="s">
        <v>37</v>
      </c>
      <c r="C58" s="235"/>
      <c r="D58" s="235"/>
      <c r="E58" s="235"/>
      <c r="F58" s="235"/>
      <c r="G58" s="235"/>
      <c r="H58" s="235"/>
      <c r="I58" s="235"/>
      <c r="J58" s="235"/>
      <c r="K58" s="235"/>
      <c r="L58" s="235"/>
      <c r="M58" s="235"/>
      <c r="N58" s="122"/>
    </row>
    <row r="59" spans="1:14" x14ac:dyDescent="0.35">
      <c r="B59" s="197" t="s">
        <v>38</v>
      </c>
      <c r="C59" s="210"/>
      <c r="D59" s="210"/>
      <c r="E59" s="210"/>
      <c r="F59" s="210"/>
      <c r="G59" s="210"/>
      <c r="H59" s="210"/>
      <c r="I59" s="210"/>
      <c r="J59" s="210"/>
      <c r="K59" s="210"/>
      <c r="L59" s="210"/>
      <c r="M59" s="210"/>
      <c r="N59" s="122"/>
    </row>
    <row r="60" spans="1:14" x14ac:dyDescent="0.35">
      <c r="B60" s="197"/>
      <c r="C60" s="210"/>
      <c r="D60" s="210"/>
      <c r="E60" s="210"/>
      <c r="F60" s="210"/>
      <c r="G60" s="210"/>
      <c r="H60" s="210"/>
      <c r="I60" s="210"/>
      <c r="J60" s="210"/>
      <c r="K60" s="210"/>
      <c r="L60" s="210"/>
      <c r="M60" s="210"/>
      <c r="N60" s="122"/>
    </row>
    <row r="61" spans="1:14" ht="33" customHeight="1" x14ac:dyDescent="0.35">
      <c r="B61" s="236" t="s">
        <v>39</v>
      </c>
      <c r="C61" s="237"/>
      <c r="D61" s="237"/>
      <c r="E61" s="237"/>
      <c r="F61" s="237"/>
      <c r="G61" s="237"/>
      <c r="H61" s="237"/>
      <c r="I61" s="237"/>
      <c r="J61" s="237"/>
      <c r="K61" s="237"/>
      <c r="L61" s="237"/>
      <c r="M61" s="237"/>
      <c r="N61" s="122"/>
    </row>
    <row r="62" spans="1:14" x14ac:dyDescent="0.35">
      <c r="B62" s="232" t="s">
        <v>40</v>
      </c>
      <c r="C62" s="233"/>
      <c r="D62" s="233"/>
      <c r="E62" s="233"/>
      <c r="F62" s="233"/>
      <c r="G62" s="233"/>
      <c r="H62" s="233"/>
      <c r="I62" s="233"/>
      <c r="J62" s="233"/>
      <c r="K62" s="233"/>
      <c r="L62" s="233"/>
      <c r="M62" s="233"/>
      <c r="N62" s="122"/>
    </row>
    <row r="63" spans="1:14" x14ac:dyDescent="0.35">
      <c r="B63" s="232" t="s">
        <v>41</v>
      </c>
      <c r="C63" s="233"/>
      <c r="D63" s="233"/>
      <c r="E63" s="233"/>
      <c r="F63" s="233"/>
      <c r="G63" s="233"/>
      <c r="H63" s="233"/>
      <c r="I63" s="233"/>
      <c r="J63" s="233"/>
      <c r="K63" s="233"/>
      <c r="L63" s="233"/>
      <c r="M63" s="233"/>
      <c r="N63" s="122"/>
    </row>
    <row r="64" spans="1:14" ht="32.25" customHeight="1" x14ac:dyDescent="0.35">
      <c r="B64" s="234" t="s">
        <v>42</v>
      </c>
      <c r="C64" s="235"/>
      <c r="D64" s="235"/>
      <c r="E64" s="235"/>
      <c r="F64" s="235"/>
      <c r="G64" s="235"/>
      <c r="H64" s="235"/>
      <c r="I64" s="235"/>
      <c r="J64" s="235"/>
      <c r="K64" s="235"/>
      <c r="L64" s="235"/>
      <c r="M64" s="235"/>
      <c r="N64" s="122"/>
    </row>
    <row r="65" spans="2:14" ht="16.5" customHeight="1" x14ac:dyDescent="0.35">
      <c r="B65" s="198"/>
      <c r="C65" s="211"/>
      <c r="D65" s="211"/>
      <c r="E65" s="211"/>
      <c r="F65" s="211"/>
      <c r="G65" s="211"/>
      <c r="H65" s="211"/>
      <c r="I65" s="211"/>
      <c r="J65" s="211"/>
      <c r="K65" s="211"/>
      <c r="L65" s="211"/>
      <c r="M65" s="211"/>
      <c r="N65" s="122"/>
    </row>
    <row r="66" spans="2:14" x14ac:dyDescent="0.35">
      <c r="B66" s="236" t="s">
        <v>43</v>
      </c>
      <c r="C66" s="237"/>
      <c r="D66" s="237"/>
      <c r="E66" s="237"/>
      <c r="F66" s="237"/>
      <c r="G66" s="237"/>
      <c r="H66" s="237"/>
      <c r="I66" s="237"/>
      <c r="J66" s="237"/>
      <c r="K66" s="237"/>
      <c r="L66" s="237"/>
      <c r="M66" s="237"/>
      <c r="N66" s="122"/>
    </row>
    <row r="67" spans="2:14" ht="32.25" customHeight="1" x14ac:dyDescent="0.35">
      <c r="B67" s="198"/>
      <c r="C67" s="211"/>
      <c r="D67" s="211"/>
      <c r="E67" s="211"/>
      <c r="F67" s="211"/>
      <c r="G67" s="211"/>
      <c r="H67" s="211"/>
      <c r="I67" s="211"/>
      <c r="J67" s="211"/>
      <c r="K67" s="211"/>
      <c r="L67" s="211"/>
      <c r="M67" s="211"/>
      <c r="N67" s="122"/>
    </row>
    <row r="68" spans="2:14" ht="32.25" customHeight="1" x14ac:dyDescent="0.35">
      <c r="B68" s="198"/>
      <c r="C68" s="211"/>
      <c r="D68" s="211"/>
      <c r="E68" s="211"/>
      <c r="F68" s="211"/>
      <c r="G68" s="211"/>
      <c r="H68" s="211"/>
      <c r="I68" s="211"/>
      <c r="J68" s="211"/>
      <c r="K68" s="211"/>
      <c r="L68" s="211"/>
      <c r="M68" s="211"/>
      <c r="N68" s="122"/>
    </row>
    <row r="69" spans="2:14" ht="32.25" customHeight="1" x14ac:dyDescent="0.35">
      <c r="B69" s="198"/>
      <c r="C69" s="211"/>
      <c r="D69" s="211"/>
      <c r="E69" s="211"/>
      <c r="F69" s="211"/>
      <c r="G69" s="211"/>
      <c r="H69" s="211"/>
      <c r="I69" s="211"/>
      <c r="J69" s="211"/>
      <c r="K69" s="211"/>
      <c r="L69" s="211"/>
      <c r="M69" s="211"/>
      <c r="N69" s="122"/>
    </row>
    <row r="70" spans="2:14" ht="32.25" customHeight="1" x14ac:dyDescent="0.35">
      <c r="B70" s="198"/>
      <c r="C70" s="211"/>
      <c r="D70" s="211"/>
      <c r="E70" s="211"/>
      <c r="F70" s="211"/>
      <c r="G70" s="211"/>
      <c r="H70" s="211"/>
      <c r="I70" s="211"/>
      <c r="J70" s="211"/>
      <c r="K70" s="211"/>
      <c r="L70" s="211"/>
      <c r="M70" s="211"/>
      <c r="N70" s="122"/>
    </row>
    <row r="71" spans="2:14" ht="32.25" customHeight="1" x14ac:dyDescent="0.35">
      <c r="B71" s="198"/>
      <c r="C71" s="211"/>
      <c r="D71" s="211"/>
      <c r="E71" s="211"/>
      <c r="F71" s="211"/>
      <c r="G71" s="211"/>
      <c r="H71" s="211"/>
      <c r="I71" s="211"/>
      <c r="J71" s="211"/>
      <c r="K71" s="211"/>
      <c r="L71" s="211"/>
      <c r="M71" s="211"/>
      <c r="N71" s="122"/>
    </row>
    <row r="72" spans="2:14" ht="18" x14ac:dyDescent="0.35">
      <c r="B72" s="240" t="s">
        <v>44</v>
      </c>
      <c r="C72" s="241"/>
      <c r="D72" s="241"/>
      <c r="E72" s="241"/>
      <c r="F72" s="241"/>
      <c r="G72" s="241"/>
      <c r="H72" s="241"/>
      <c r="I72" s="241"/>
      <c r="J72" s="241"/>
      <c r="K72" s="241"/>
      <c r="L72" s="241"/>
      <c r="M72" s="241"/>
      <c r="N72" s="122"/>
    </row>
    <row r="73" spans="2:14" x14ac:dyDescent="0.35">
      <c r="B73" s="197"/>
      <c r="C73" s="210"/>
      <c r="D73" s="210"/>
      <c r="E73" s="210"/>
      <c r="F73" s="210"/>
      <c r="G73" s="210"/>
      <c r="H73" s="210"/>
      <c r="I73" s="210"/>
      <c r="J73" s="210"/>
      <c r="K73" s="210"/>
      <c r="L73" s="210"/>
      <c r="M73" s="210"/>
      <c r="N73" s="122"/>
    </row>
    <row r="74" spans="2:14" x14ac:dyDescent="0.35">
      <c r="B74" s="236" t="s">
        <v>45</v>
      </c>
      <c r="C74" s="237"/>
      <c r="D74" s="237"/>
      <c r="E74" s="237"/>
      <c r="F74" s="237"/>
      <c r="G74" s="237"/>
      <c r="H74" s="237"/>
      <c r="I74" s="237"/>
      <c r="J74" s="237"/>
      <c r="K74" s="237"/>
      <c r="L74" s="237"/>
      <c r="M74" s="237"/>
      <c r="N74" s="239"/>
    </row>
    <row r="75" spans="2:14" x14ac:dyDescent="0.35">
      <c r="B75" s="197" t="s">
        <v>46</v>
      </c>
      <c r="C75" s="210"/>
      <c r="D75" s="231" t="s">
        <v>47</v>
      </c>
      <c r="E75" s="231"/>
      <c r="F75" s="231"/>
      <c r="G75" s="231"/>
      <c r="H75" s="231"/>
      <c r="I75" s="231"/>
      <c r="J75" s="210"/>
      <c r="K75" s="210"/>
      <c r="L75" s="210"/>
      <c r="M75" s="210"/>
      <c r="N75" s="122"/>
    </row>
    <row r="76" spans="2:14" ht="27.75" customHeight="1" x14ac:dyDescent="0.35">
      <c r="B76" s="234" t="s">
        <v>48</v>
      </c>
      <c r="C76" s="235"/>
      <c r="D76" s="235"/>
      <c r="E76" s="235"/>
      <c r="F76" s="235"/>
      <c r="G76" s="235"/>
      <c r="H76" s="235"/>
      <c r="I76" s="235"/>
      <c r="J76" s="235"/>
      <c r="K76" s="235"/>
      <c r="L76" s="235"/>
      <c r="M76" s="235"/>
      <c r="N76" s="122"/>
    </row>
    <row r="77" spans="2:14" ht="29.25" customHeight="1" x14ac:dyDescent="0.35">
      <c r="B77" s="234" t="s">
        <v>49</v>
      </c>
      <c r="C77" s="235"/>
      <c r="D77" s="235"/>
      <c r="E77" s="235"/>
      <c r="F77" s="235"/>
      <c r="G77" s="235"/>
      <c r="H77" s="235"/>
      <c r="I77" s="235"/>
      <c r="J77" s="235"/>
      <c r="K77" s="235"/>
      <c r="L77" s="235"/>
      <c r="M77" s="235"/>
      <c r="N77" s="122"/>
    </row>
    <row r="78" spans="2:14" x14ac:dyDescent="0.35">
      <c r="B78" s="197" t="s">
        <v>50</v>
      </c>
      <c r="C78" s="210"/>
      <c r="D78" s="210"/>
      <c r="E78" s="210"/>
      <c r="F78" s="210"/>
      <c r="G78" s="210"/>
      <c r="H78" s="210"/>
      <c r="I78" s="210"/>
      <c r="J78" s="210"/>
      <c r="K78" s="210"/>
      <c r="L78" s="210"/>
      <c r="M78" s="210"/>
      <c r="N78" s="122"/>
    </row>
    <row r="79" spans="2:14" x14ac:dyDescent="0.35">
      <c r="B79" s="197"/>
      <c r="C79" s="210"/>
      <c r="D79" s="210"/>
      <c r="E79" s="210"/>
      <c r="F79" s="210"/>
      <c r="G79" s="210"/>
      <c r="H79" s="210"/>
      <c r="I79" s="210"/>
      <c r="J79" s="210"/>
      <c r="K79" s="210"/>
      <c r="L79" s="210"/>
      <c r="M79" s="210"/>
      <c r="N79" s="122"/>
    </row>
    <row r="80" spans="2:14" x14ac:dyDescent="0.35">
      <c r="B80" s="236" t="s">
        <v>51</v>
      </c>
      <c r="C80" s="237"/>
      <c r="D80" s="237"/>
      <c r="E80" s="237"/>
      <c r="F80" s="237"/>
      <c r="G80" s="237"/>
      <c r="H80" s="237"/>
      <c r="I80" s="237"/>
      <c r="J80" s="237"/>
      <c r="K80" s="237"/>
      <c r="L80" s="237"/>
      <c r="M80" s="237"/>
      <c r="N80" s="239"/>
    </row>
    <row r="81" spans="2:14" x14ac:dyDescent="0.35">
      <c r="B81" s="197" t="s">
        <v>52</v>
      </c>
      <c r="C81" s="210"/>
      <c r="D81" s="242" t="s">
        <v>53</v>
      </c>
      <c r="E81" s="242"/>
      <c r="F81" s="242"/>
      <c r="G81" s="242"/>
      <c r="H81" s="242"/>
      <c r="I81" s="210"/>
      <c r="J81" s="210"/>
      <c r="K81" s="210"/>
      <c r="L81" s="210"/>
      <c r="M81" s="210"/>
      <c r="N81" s="122"/>
    </row>
    <row r="82" spans="2:14" ht="58.5" customHeight="1" x14ac:dyDescent="0.35">
      <c r="B82" s="234" t="s">
        <v>54</v>
      </c>
      <c r="C82" s="235"/>
      <c r="D82" s="235"/>
      <c r="E82" s="235"/>
      <c r="F82" s="235"/>
      <c r="G82" s="235"/>
      <c r="H82" s="235"/>
      <c r="I82" s="235"/>
      <c r="J82" s="235"/>
      <c r="K82" s="235"/>
      <c r="L82" s="235"/>
      <c r="M82" s="235"/>
      <c r="N82" s="122"/>
    </row>
    <row r="83" spans="2:14" x14ac:dyDescent="0.35">
      <c r="B83" s="197" t="s">
        <v>55</v>
      </c>
      <c r="C83" s="210"/>
      <c r="D83" s="210"/>
      <c r="E83" s="210"/>
      <c r="F83" s="210"/>
      <c r="G83" s="210"/>
      <c r="H83" s="210"/>
      <c r="I83" s="210"/>
      <c r="J83" s="210"/>
      <c r="K83" s="210"/>
      <c r="L83" s="210"/>
      <c r="M83" s="210"/>
      <c r="N83" s="122"/>
    </row>
    <row r="84" spans="2:14" x14ac:dyDescent="0.35">
      <c r="B84" s="197" t="s">
        <v>56</v>
      </c>
      <c r="C84" s="210"/>
      <c r="D84" s="210"/>
      <c r="E84" s="210"/>
      <c r="F84" s="210"/>
      <c r="G84" s="210"/>
      <c r="H84" s="210"/>
      <c r="I84" s="210"/>
      <c r="J84" s="210"/>
      <c r="K84" s="210"/>
      <c r="L84" s="210"/>
      <c r="M84" s="210"/>
      <c r="N84" s="122"/>
    </row>
    <row r="85" spans="2:14" x14ac:dyDescent="0.35">
      <c r="B85" s="197"/>
      <c r="C85" s="210"/>
      <c r="D85" s="210"/>
      <c r="E85" s="210"/>
      <c r="F85" s="210"/>
      <c r="G85" s="210"/>
      <c r="H85" s="210"/>
      <c r="I85" s="210"/>
      <c r="J85" s="210"/>
      <c r="K85" s="210"/>
      <c r="L85" s="210"/>
      <c r="M85" s="210"/>
      <c r="N85" s="122"/>
    </row>
    <row r="86" spans="2:14" ht="31.5" customHeight="1" x14ac:dyDescent="0.35">
      <c r="B86" s="236" t="s">
        <v>57</v>
      </c>
      <c r="C86" s="237"/>
      <c r="D86" s="237"/>
      <c r="E86" s="237"/>
      <c r="F86" s="237"/>
      <c r="G86" s="237"/>
      <c r="H86" s="237"/>
      <c r="I86" s="237"/>
      <c r="J86" s="237"/>
      <c r="K86" s="237"/>
      <c r="L86" s="237"/>
      <c r="M86" s="237"/>
      <c r="N86" s="122"/>
    </row>
    <row r="87" spans="2:14" x14ac:dyDescent="0.35">
      <c r="B87" s="197" t="s">
        <v>46</v>
      </c>
      <c r="C87" s="210"/>
      <c r="D87" s="238" t="s">
        <v>58</v>
      </c>
      <c r="E87" s="238"/>
      <c r="F87" s="238"/>
      <c r="G87" s="238"/>
      <c r="H87" s="238"/>
      <c r="I87" s="210"/>
      <c r="J87" s="210"/>
      <c r="K87" s="210"/>
      <c r="L87" s="210"/>
      <c r="M87" s="210"/>
      <c r="N87" s="122"/>
    </row>
    <row r="88" spans="2:14" x14ac:dyDescent="0.35">
      <c r="B88" s="197" t="s">
        <v>59</v>
      </c>
      <c r="C88" s="210"/>
      <c r="D88" s="210"/>
      <c r="E88" s="210"/>
      <c r="F88" s="210"/>
      <c r="G88" s="210"/>
      <c r="H88" s="210"/>
      <c r="I88" s="210"/>
      <c r="J88" s="210"/>
      <c r="K88" s="210"/>
      <c r="L88" s="210"/>
      <c r="M88" s="210"/>
      <c r="N88" s="122"/>
    </row>
    <row r="89" spans="2:14" ht="28.5" customHeight="1" x14ac:dyDescent="0.35">
      <c r="B89" s="234" t="s">
        <v>60</v>
      </c>
      <c r="C89" s="235"/>
      <c r="D89" s="235"/>
      <c r="E89" s="235"/>
      <c r="F89" s="235"/>
      <c r="G89" s="235"/>
      <c r="H89" s="235"/>
      <c r="I89" s="235"/>
      <c r="J89" s="235"/>
      <c r="K89" s="235"/>
      <c r="L89" s="235"/>
      <c r="M89" s="235"/>
      <c r="N89" s="122"/>
    </row>
    <row r="90" spans="2:14" ht="30" customHeight="1" x14ac:dyDescent="0.35">
      <c r="B90" s="234" t="s">
        <v>61</v>
      </c>
      <c r="C90" s="235"/>
      <c r="D90" s="235"/>
      <c r="E90" s="235"/>
      <c r="F90" s="235"/>
      <c r="G90" s="235"/>
      <c r="H90" s="235"/>
      <c r="I90" s="235"/>
      <c r="J90" s="235"/>
      <c r="K90" s="235"/>
      <c r="L90" s="235"/>
      <c r="M90" s="235"/>
      <c r="N90" s="122"/>
    </row>
    <row r="91" spans="2:14" ht="33.75" customHeight="1" x14ac:dyDescent="0.35">
      <c r="B91" s="234" t="s">
        <v>62</v>
      </c>
      <c r="C91" s="235"/>
      <c r="D91" s="235"/>
      <c r="E91" s="235"/>
      <c r="F91" s="235"/>
      <c r="G91" s="235"/>
      <c r="H91" s="235"/>
      <c r="I91" s="235"/>
      <c r="J91" s="235"/>
      <c r="K91" s="235"/>
      <c r="L91" s="235"/>
      <c r="M91" s="235"/>
      <c r="N91" s="122"/>
    </row>
    <row r="92" spans="2:14" x14ac:dyDescent="0.35">
      <c r="B92" s="197"/>
      <c r="C92" s="210"/>
      <c r="D92" s="210"/>
      <c r="E92" s="210"/>
      <c r="F92" s="210"/>
      <c r="G92" s="210"/>
      <c r="H92" s="210"/>
      <c r="I92" s="210"/>
      <c r="J92" s="210"/>
      <c r="K92" s="210"/>
      <c r="L92" s="210"/>
      <c r="M92" s="210"/>
      <c r="N92" s="122"/>
    </row>
    <row r="93" spans="2:14" x14ac:dyDescent="0.35">
      <c r="B93" s="236" t="s">
        <v>63</v>
      </c>
      <c r="C93" s="237"/>
      <c r="D93" s="237"/>
      <c r="E93" s="237"/>
      <c r="F93" s="237"/>
      <c r="G93" s="237"/>
      <c r="H93" s="237"/>
      <c r="I93" s="237"/>
      <c r="J93" s="237"/>
      <c r="K93" s="237"/>
      <c r="L93" s="237"/>
      <c r="M93" s="237"/>
      <c r="N93" s="239"/>
    </row>
    <row r="94" spans="2:14" x14ac:dyDescent="0.35">
      <c r="B94" s="197" t="s">
        <v>64</v>
      </c>
      <c r="C94" s="210"/>
      <c r="D94" s="231" t="s">
        <v>65</v>
      </c>
      <c r="E94" s="231"/>
      <c r="F94" s="231"/>
      <c r="G94" s="231"/>
      <c r="H94" s="231"/>
      <c r="I94" s="231"/>
      <c r="J94" s="231"/>
      <c r="K94" s="210"/>
      <c r="L94" s="210"/>
      <c r="M94" s="210"/>
      <c r="N94" s="122"/>
    </row>
    <row r="95" spans="2:14" x14ac:dyDescent="0.35">
      <c r="B95" s="232" t="s">
        <v>66</v>
      </c>
      <c r="C95" s="233"/>
      <c r="D95" s="233"/>
      <c r="E95" s="233"/>
      <c r="F95" s="233"/>
      <c r="G95" s="233"/>
      <c r="H95" s="233"/>
      <c r="I95" s="233"/>
      <c r="J95" s="233"/>
      <c r="K95" s="233"/>
      <c r="L95" s="233"/>
      <c r="M95" s="233"/>
      <c r="N95" s="122"/>
    </row>
    <row r="96" spans="2:14" ht="18.75" customHeight="1" x14ac:dyDescent="0.35">
      <c r="B96" s="234" t="s">
        <v>67</v>
      </c>
      <c r="C96" s="235"/>
      <c r="D96" s="235"/>
      <c r="E96" s="235"/>
      <c r="F96" s="235"/>
      <c r="G96" s="235"/>
      <c r="H96" s="235"/>
      <c r="I96" s="235"/>
      <c r="J96" s="235"/>
      <c r="K96" s="235"/>
      <c r="L96" s="235"/>
      <c r="M96" s="235"/>
      <c r="N96" s="122"/>
    </row>
    <row r="97" spans="2:14" x14ac:dyDescent="0.35">
      <c r="B97" s="232" t="s">
        <v>68</v>
      </c>
      <c r="C97" s="233"/>
      <c r="D97" s="233"/>
      <c r="E97" s="233"/>
      <c r="F97" s="233"/>
      <c r="G97" s="233"/>
      <c r="H97" s="233"/>
      <c r="I97" s="233"/>
      <c r="J97" s="233"/>
      <c r="K97" s="233"/>
      <c r="L97" s="233"/>
      <c r="M97" s="233"/>
      <c r="N97" s="122"/>
    </row>
    <row r="98" spans="2:14" ht="15" thickBot="1" x14ac:dyDescent="0.4">
      <c r="B98" s="124"/>
      <c r="C98" s="125"/>
      <c r="D98" s="125"/>
      <c r="E98" s="125"/>
      <c r="F98" s="125"/>
      <c r="G98" s="125"/>
      <c r="H98" s="125"/>
      <c r="I98" s="125"/>
      <c r="J98" s="125"/>
      <c r="K98" s="125"/>
      <c r="L98" s="125"/>
      <c r="M98" s="125"/>
      <c r="N98" s="122"/>
    </row>
    <row r="99" spans="2:14" ht="15" thickTop="1" x14ac:dyDescent="0.35">
      <c r="B99" s="139"/>
      <c r="C99" s="212"/>
      <c r="D99" s="212"/>
      <c r="E99" s="212"/>
      <c r="F99" s="212"/>
      <c r="G99" s="212"/>
      <c r="H99" s="212"/>
      <c r="I99" s="212"/>
      <c r="J99" s="212"/>
      <c r="K99" s="212"/>
      <c r="L99" s="212"/>
      <c r="M99" s="212"/>
      <c r="N99" s="213"/>
    </row>
    <row r="100" spans="2:14" x14ac:dyDescent="0.35">
      <c r="B100" s="212"/>
      <c r="C100" s="212"/>
      <c r="D100" s="212"/>
      <c r="E100" s="212"/>
      <c r="F100" s="212"/>
      <c r="G100" s="212"/>
      <c r="H100" s="212"/>
      <c r="I100" s="212"/>
      <c r="J100" s="212"/>
      <c r="K100" s="212"/>
      <c r="L100" s="212"/>
      <c r="M100" s="212"/>
    </row>
    <row r="101" spans="2:14" x14ac:dyDescent="0.35">
      <c r="B101" s="212"/>
      <c r="C101" s="212"/>
      <c r="D101" s="212"/>
      <c r="E101" s="212"/>
      <c r="F101" s="212"/>
      <c r="G101" s="212"/>
      <c r="H101" s="212"/>
      <c r="I101" s="212"/>
      <c r="J101" s="212"/>
      <c r="K101" s="212"/>
      <c r="L101" s="212"/>
      <c r="M101" s="212"/>
    </row>
    <row r="102" spans="2:14" x14ac:dyDescent="0.35">
      <c r="B102" s="212"/>
      <c r="C102" s="212"/>
      <c r="D102" s="212"/>
      <c r="E102" s="212"/>
      <c r="F102" s="212"/>
      <c r="G102" s="212"/>
      <c r="H102" s="212"/>
      <c r="I102" s="212"/>
      <c r="J102" s="212"/>
      <c r="K102" s="212"/>
      <c r="L102" s="212"/>
      <c r="M102" s="212"/>
    </row>
    <row r="103" spans="2:14" x14ac:dyDescent="0.35">
      <c r="B103" s="212"/>
      <c r="C103" s="212"/>
      <c r="D103" s="212"/>
      <c r="E103" s="212"/>
      <c r="F103" s="212"/>
      <c r="G103" s="212"/>
      <c r="H103" s="212"/>
      <c r="I103" s="212"/>
      <c r="J103" s="212"/>
      <c r="K103" s="212"/>
      <c r="L103" s="212"/>
      <c r="M103" s="212"/>
    </row>
    <row r="104" spans="2:14" x14ac:dyDescent="0.35">
      <c r="B104" s="212"/>
      <c r="C104" s="212"/>
      <c r="D104" s="212"/>
      <c r="E104" s="212"/>
      <c r="F104" s="212"/>
      <c r="G104" s="212"/>
      <c r="H104" s="212"/>
      <c r="I104" s="212"/>
      <c r="J104" s="212"/>
      <c r="K104" s="212"/>
      <c r="L104" s="212"/>
      <c r="M104" s="212"/>
    </row>
    <row r="105" spans="2:14" x14ac:dyDescent="0.35">
      <c r="B105" s="212"/>
      <c r="C105" s="212"/>
      <c r="D105" s="212"/>
      <c r="E105" s="212"/>
      <c r="F105" s="212"/>
      <c r="G105" s="212"/>
      <c r="H105" s="212"/>
      <c r="I105" s="212"/>
      <c r="J105" s="212"/>
      <c r="K105" s="212"/>
      <c r="L105" s="212"/>
      <c r="M105" s="212"/>
    </row>
    <row r="106" spans="2:14" x14ac:dyDescent="0.35">
      <c r="B106" s="212"/>
      <c r="C106" s="212"/>
      <c r="D106" s="212"/>
      <c r="E106" s="212"/>
      <c r="F106" s="212"/>
      <c r="G106" s="212"/>
      <c r="H106" s="212"/>
      <c r="I106" s="212"/>
      <c r="J106" s="212"/>
      <c r="K106" s="212"/>
      <c r="L106" s="212"/>
      <c r="M106" s="212"/>
    </row>
    <row r="107" spans="2:14" x14ac:dyDescent="0.35">
      <c r="B107" s="212"/>
      <c r="C107" s="212"/>
      <c r="D107" s="212"/>
      <c r="E107" s="212"/>
      <c r="F107" s="212"/>
      <c r="G107" s="212"/>
      <c r="H107" s="212"/>
      <c r="I107" s="212"/>
      <c r="J107" s="212"/>
      <c r="K107" s="212"/>
      <c r="L107" s="212"/>
      <c r="M107" s="212"/>
    </row>
    <row r="108" spans="2:14" x14ac:dyDescent="0.35">
      <c r="B108" s="212"/>
      <c r="C108" s="212"/>
      <c r="D108" s="212"/>
      <c r="E108" s="212"/>
      <c r="F108" s="212"/>
      <c r="G108" s="212"/>
      <c r="H108" s="212"/>
      <c r="I108" s="212"/>
      <c r="J108" s="212"/>
      <c r="K108" s="212"/>
      <c r="L108" s="212"/>
      <c r="M108" s="212"/>
    </row>
    <row r="109" spans="2:14" x14ac:dyDescent="0.35">
      <c r="B109" s="212"/>
      <c r="C109" s="212"/>
      <c r="D109" s="212"/>
      <c r="E109" s="212"/>
      <c r="F109" s="212"/>
      <c r="G109" s="212"/>
      <c r="H109" s="212"/>
      <c r="I109" s="212"/>
      <c r="J109" s="212"/>
      <c r="K109" s="212"/>
      <c r="L109" s="212"/>
      <c r="M109" s="212"/>
    </row>
    <row r="110" spans="2:14" x14ac:dyDescent="0.35">
      <c r="B110" s="212"/>
      <c r="C110" s="212"/>
      <c r="D110" s="212"/>
      <c r="E110" s="212"/>
      <c r="F110" s="212"/>
      <c r="G110" s="212"/>
      <c r="H110" s="212"/>
      <c r="I110" s="212"/>
      <c r="J110" s="212"/>
      <c r="K110" s="212"/>
      <c r="L110" s="212"/>
      <c r="M110" s="212"/>
    </row>
    <row r="111" spans="2:14" x14ac:dyDescent="0.35">
      <c r="B111" s="212"/>
      <c r="C111" s="212"/>
      <c r="D111" s="212"/>
      <c r="E111" s="212"/>
      <c r="F111" s="212"/>
      <c r="G111" s="212"/>
      <c r="H111" s="212"/>
      <c r="I111" s="212"/>
      <c r="J111" s="212"/>
      <c r="K111" s="212"/>
      <c r="L111" s="212"/>
      <c r="M111" s="212"/>
    </row>
    <row r="112" spans="2:14" x14ac:dyDescent="0.35">
      <c r="B112" s="212"/>
      <c r="C112" s="212"/>
      <c r="D112" s="212"/>
      <c r="E112" s="212"/>
      <c r="F112" s="212"/>
      <c r="G112" s="212"/>
      <c r="H112" s="212"/>
      <c r="I112" s="212"/>
      <c r="J112" s="212"/>
      <c r="K112" s="212"/>
      <c r="L112" s="212"/>
      <c r="M112" s="212"/>
    </row>
    <row r="113" spans="2:13" x14ac:dyDescent="0.35">
      <c r="B113" s="212"/>
      <c r="C113" s="212"/>
      <c r="D113" s="212"/>
      <c r="E113" s="212"/>
      <c r="F113" s="212"/>
      <c r="G113" s="212"/>
      <c r="H113" s="212"/>
      <c r="I113" s="212"/>
      <c r="J113" s="212"/>
      <c r="K113" s="212"/>
      <c r="L113" s="212"/>
      <c r="M113" s="212"/>
    </row>
    <row r="114" spans="2:13" x14ac:dyDescent="0.35">
      <c r="B114" s="212"/>
      <c r="C114" s="212"/>
      <c r="D114" s="212"/>
      <c r="E114" s="212"/>
      <c r="F114" s="212"/>
      <c r="G114" s="212"/>
      <c r="H114" s="212"/>
      <c r="I114" s="212"/>
      <c r="J114" s="212"/>
      <c r="K114" s="212"/>
      <c r="L114" s="212"/>
      <c r="M114" s="212"/>
    </row>
    <row r="115" spans="2:13" x14ac:dyDescent="0.35">
      <c r="B115" s="212"/>
      <c r="C115" s="212"/>
      <c r="D115" s="212"/>
      <c r="E115" s="212"/>
      <c r="F115" s="212"/>
      <c r="G115" s="212"/>
      <c r="H115" s="212"/>
      <c r="I115" s="212"/>
      <c r="J115" s="212"/>
      <c r="K115" s="212"/>
      <c r="L115" s="212"/>
      <c r="M115" s="212"/>
    </row>
    <row r="116" spans="2:13" x14ac:dyDescent="0.35">
      <c r="B116" s="212"/>
      <c r="C116" s="212"/>
      <c r="D116" s="212"/>
      <c r="E116" s="212"/>
      <c r="F116" s="212"/>
      <c r="G116" s="212"/>
      <c r="H116" s="212"/>
      <c r="I116" s="212"/>
      <c r="J116" s="212"/>
      <c r="K116" s="212"/>
      <c r="L116" s="212"/>
      <c r="M116" s="212"/>
    </row>
    <row r="117" spans="2:13" x14ac:dyDescent="0.35">
      <c r="B117" s="212"/>
      <c r="C117" s="212"/>
      <c r="D117" s="212"/>
      <c r="E117" s="212"/>
      <c r="F117" s="212"/>
      <c r="G117" s="212"/>
      <c r="H117" s="212"/>
      <c r="I117" s="212"/>
      <c r="J117" s="212"/>
      <c r="K117" s="212"/>
      <c r="L117" s="212"/>
      <c r="M117" s="212"/>
    </row>
    <row r="118" spans="2:13" x14ac:dyDescent="0.35">
      <c r="B118" s="212"/>
      <c r="C118" s="212"/>
      <c r="D118" s="212"/>
      <c r="E118" s="212"/>
      <c r="F118" s="212"/>
      <c r="G118" s="212"/>
      <c r="H118" s="212"/>
      <c r="I118" s="212"/>
      <c r="J118" s="212"/>
      <c r="K118" s="212"/>
      <c r="L118" s="212"/>
      <c r="M118" s="212"/>
    </row>
    <row r="119" spans="2:13" x14ac:dyDescent="0.35">
      <c r="B119" s="212"/>
      <c r="C119" s="212"/>
      <c r="D119" s="212"/>
      <c r="E119" s="212"/>
      <c r="F119" s="212"/>
      <c r="G119" s="212"/>
      <c r="H119" s="212"/>
      <c r="I119" s="212"/>
      <c r="J119" s="212"/>
      <c r="K119" s="212"/>
      <c r="L119" s="212"/>
      <c r="M119" s="212"/>
    </row>
    <row r="120" spans="2:13" x14ac:dyDescent="0.35">
      <c r="B120" s="212"/>
      <c r="C120" s="212"/>
      <c r="D120" s="212"/>
      <c r="E120" s="212"/>
      <c r="F120" s="212"/>
      <c r="G120" s="212"/>
      <c r="H120" s="212"/>
      <c r="I120" s="212"/>
      <c r="J120" s="212"/>
      <c r="K120" s="212"/>
      <c r="L120" s="212"/>
      <c r="M120" s="212"/>
    </row>
    <row r="121" spans="2:13" x14ac:dyDescent="0.35">
      <c r="B121" s="212"/>
      <c r="C121" s="212"/>
      <c r="D121" s="212"/>
      <c r="E121" s="212"/>
      <c r="F121" s="212"/>
      <c r="G121" s="212"/>
      <c r="H121" s="212"/>
      <c r="I121" s="212"/>
      <c r="J121" s="212"/>
      <c r="K121" s="212"/>
      <c r="L121" s="212"/>
      <c r="M121" s="212"/>
    </row>
    <row r="122" spans="2:13" x14ac:dyDescent="0.35">
      <c r="B122" s="212"/>
      <c r="C122" s="212"/>
      <c r="D122" s="212"/>
      <c r="E122" s="212"/>
      <c r="F122" s="212"/>
      <c r="G122" s="212"/>
      <c r="H122" s="212"/>
      <c r="I122" s="212"/>
      <c r="J122" s="212"/>
      <c r="K122" s="212"/>
      <c r="L122" s="212"/>
      <c r="M122" s="212"/>
    </row>
    <row r="123" spans="2:13" x14ac:dyDescent="0.35">
      <c r="B123" s="212"/>
      <c r="C123" s="212"/>
      <c r="D123" s="212"/>
      <c r="E123" s="212"/>
      <c r="F123" s="212"/>
      <c r="G123" s="212"/>
      <c r="H123" s="212"/>
      <c r="I123" s="212"/>
      <c r="J123" s="212"/>
      <c r="K123" s="212"/>
      <c r="L123" s="212"/>
      <c r="M123" s="212"/>
    </row>
    <row r="124" spans="2:13" x14ac:dyDescent="0.35">
      <c r="B124" s="212"/>
      <c r="C124" s="212"/>
      <c r="D124" s="212"/>
      <c r="E124" s="212"/>
      <c r="F124" s="212"/>
      <c r="G124" s="212"/>
      <c r="H124" s="212"/>
      <c r="I124" s="212"/>
      <c r="J124" s="212"/>
      <c r="K124" s="212"/>
      <c r="L124" s="212"/>
      <c r="M124" s="212"/>
    </row>
    <row r="125" spans="2:13" x14ac:dyDescent="0.35">
      <c r="B125" s="212"/>
      <c r="C125" s="212"/>
      <c r="D125" s="212"/>
      <c r="E125" s="212"/>
      <c r="F125" s="212"/>
      <c r="G125" s="212"/>
      <c r="H125" s="212"/>
      <c r="I125" s="212"/>
      <c r="J125" s="212"/>
      <c r="K125" s="212"/>
      <c r="L125" s="212"/>
      <c r="M125" s="212"/>
    </row>
    <row r="126" spans="2:13" x14ac:dyDescent="0.35">
      <c r="B126" s="212"/>
      <c r="C126" s="212"/>
      <c r="D126" s="212"/>
      <c r="E126" s="212"/>
      <c r="F126" s="212"/>
      <c r="G126" s="212"/>
      <c r="H126" s="212"/>
      <c r="I126" s="212"/>
      <c r="J126" s="212"/>
      <c r="K126" s="212"/>
      <c r="L126" s="212"/>
      <c r="M126" s="212"/>
    </row>
    <row r="127" spans="2:13" x14ac:dyDescent="0.35">
      <c r="B127" s="212"/>
      <c r="C127" s="212"/>
      <c r="D127" s="212"/>
      <c r="E127" s="212"/>
      <c r="F127" s="212"/>
      <c r="G127" s="212"/>
      <c r="H127" s="212"/>
      <c r="I127" s="212"/>
      <c r="J127" s="212"/>
      <c r="K127" s="212"/>
      <c r="L127" s="212"/>
      <c r="M127" s="212"/>
    </row>
    <row r="128" spans="2:13" x14ac:dyDescent="0.35">
      <c r="B128" s="212"/>
      <c r="C128" s="212"/>
      <c r="D128" s="212"/>
      <c r="E128" s="212"/>
      <c r="F128" s="212"/>
      <c r="G128" s="212"/>
      <c r="H128" s="212"/>
      <c r="I128" s="212"/>
      <c r="J128" s="212"/>
      <c r="K128" s="212"/>
      <c r="L128" s="212"/>
      <c r="M128" s="212"/>
    </row>
    <row r="129" spans="2:13" x14ac:dyDescent="0.35">
      <c r="B129" s="212"/>
      <c r="C129" s="212"/>
      <c r="D129" s="212"/>
      <c r="E129" s="212"/>
      <c r="F129" s="212"/>
      <c r="G129" s="212"/>
      <c r="H129" s="212"/>
      <c r="I129" s="212"/>
      <c r="J129" s="212"/>
      <c r="K129" s="212"/>
      <c r="L129" s="212"/>
      <c r="M129" s="212"/>
    </row>
    <row r="130" spans="2:13" x14ac:dyDescent="0.35">
      <c r="B130" s="212"/>
      <c r="C130" s="212"/>
      <c r="D130" s="212"/>
      <c r="E130" s="212"/>
      <c r="F130" s="212"/>
      <c r="G130" s="212"/>
      <c r="H130" s="212"/>
      <c r="I130" s="212"/>
      <c r="J130" s="212"/>
      <c r="K130" s="212"/>
      <c r="L130" s="212"/>
      <c r="M130" s="212"/>
    </row>
    <row r="131" spans="2:13" x14ac:dyDescent="0.35">
      <c r="B131" s="212"/>
      <c r="C131" s="212"/>
      <c r="D131" s="212"/>
      <c r="E131" s="212"/>
      <c r="F131" s="212"/>
      <c r="G131" s="212"/>
      <c r="H131" s="212"/>
      <c r="I131" s="212"/>
      <c r="J131" s="212"/>
      <c r="K131" s="212"/>
      <c r="L131" s="212"/>
      <c r="M131" s="212"/>
    </row>
    <row r="132" spans="2:13" x14ac:dyDescent="0.35">
      <c r="B132" s="212"/>
      <c r="C132" s="212"/>
      <c r="D132" s="212"/>
      <c r="E132" s="212"/>
      <c r="F132" s="212"/>
      <c r="G132" s="212"/>
      <c r="H132" s="212"/>
      <c r="I132" s="212"/>
      <c r="J132" s="212"/>
      <c r="K132" s="212"/>
      <c r="L132" s="212"/>
      <c r="M132" s="212"/>
    </row>
    <row r="133" spans="2:13" x14ac:dyDescent="0.35">
      <c r="B133" s="212"/>
      <c r="C133" s="212"/>
      <c r="D133" s="212"/>
      <c r="E133" s="212"/>
      <c r="F133" s="212"/>
      <c r="G133" s="212"/>
      <c r="H133" s="212"/>
      <c r="I133" s="212"/>
      <c r="J133" s="212"/>
      <c r="K133" s="212"/>
      <c r="L133" s="212"/>
      <c r="M133" s="212"/>
    </row>
  </sheetData>
  <sheetProtection algorithmName="SHA-512" hashValue="l0oREwplrUv/fDv4OkAP/1ulh0D76s3Up6SYP/ZUnaR+VLWqJWmQPdmcjH9Lgsqrs6+vReoQ6C1OtKrpCHtJyg==" saltValue="HhKWNJsf0focX7ib2eI+Yw==" spinCount="100000" sheet="1" objects="1" scenarios="1"/>
  <mergeCells count="40">
    <mergeCell ref="B44:M44"/>
    <mergeCell ref="B3:N5"/>
    <mergeCell ref="B7:M7"/>
    <mergeCell ref="B27:M27"/>
    <mergeCell ref="B37:M37"/>
    <mergeCell ref="B40:M40"/>
    <mergeCell ref="B61:M61"/>
    <mergeCell ref="B46:M46"/>
    <mergeCell ref="B47:M47"/>
    <mergeCell ref="B48:M48"/>
    <mergeCell ref="B49:M49"/>
    <mergeCell ref="B50:M50"/>
    <mergeCell ref="B51:M51"/>
    <mergeCell ref="B52:M52"/>
    <mergeCell ref="B53:M53"/>
    <mergeCell ref="B54:M54"/>
    <mergeCell ref="B56:M56"/>
    <mergeCell ref="B58:M58"/>
    <mergeCell ref="B82:M82"/>
    <mergeCell ref="B62:M62"/>
    <mergeCell ref="B63:M63"/>
    <mergeCell ref="B64:M64"/>
    <mergeCell ref="B66:M66"/>
    <mergeCell ref="B72:M72"/>
    <mergeCell ref="B74:N74"/>
    <mergeCell ref="D75:I75"/>
    <mergeCell ref="B76:M76"/>
    <mergeCell ref="B77:M77"/>
    <mergeCell ref="B80:N80"/>
    <mergeCell ref="D81:H81"/>
    <mergeCell ref="D94:J94"/>
    <mergeCell ref="B95:M95"/>
    <mergeCell ref="B96:M96"/>
    <mergeCell ref="B97:M97"/>
    <mergeCell ref="B86:M86"/>
    <mergeCell ref="D87:H87"/>
    <mergeCell ref="B89:M89"/>
    <mergeCell ref="B90:M90"/>
    <mergeCell ref="B91:M91"/>
    <mergeCell ref="B93:N93"/>
  </mergeCells>
  <hyperlinks>
    <hyperlink ref="D75" r:id="rId1"/>
    <hyperlink ref="D81" r:id="rId2" location="."/>
    <hyperlink ref="D94" r:id="rId3"/>
    <hyperlink ref="D87" r:id="rId4"/>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2"/>
  <sheetViews>
    <sheetView showRowColHeaders="0" zoomScaleNormal="100" workbookViewId="0">
      <selection activeCell="D7" sqref="D7:K7"/>
    </sheetView>
  </sheetViews>
  <sheetFormatPr defaultColWidth="9.1796875" defaultRowHeight="14.5" x14ac:dyDescent="0.35"/>
  <cols>
    <col min="1" max="1" width="9.1796875" style="137"/>
    <col min="2" max="2" width="3.7265625" style="137" customWidth="1"/>
    <col min="3" max="3" width="30.54296875" style="137" customWidth="1"/>
    <col min="4" max="4" width="11.26953125" style="137" bestFit="1" customWidth="1"/>
    <col min="5" max="10" width="9.1796875" style="137"/>
    <col min="11" max="11" width="10.26953125" style="137" customWidth="1"/>
    <col min="12" max="12" width="4.1796875" style="137" customWidth="1"/>
    <col min="13" max="16384" width="9.1796875" style="137"/>
  </cols>
  <sheetData>
    <row r="2" spans="2:13" ht="15" thickBot="1" x14ac:dyDescent="0.4"/>
    <row r="3" spans="2:13" ht="15.75" customHeight="1" thickTop="1" x14ac:dyDescent="0.35">
      <c r="B3" s="218" t="s">
        <v>69</v>
      </c>
      <c r="C3" s="219"/>
      <c r="D3" s="219"/>
      <c r="E3" s="219"/>
      <c r="F3" s="219"/>
      <c r="G3" s="219"/>
      <c r="H3" s="219"/>
      <c r="I3" s="219"/>
      <c r="J3" s="219"/>
      <c r="K3" s="219"/>
      <c r="L3" s="220"/>
    </row>
    <row r="4" spans="2:13" ht="15" customHeight="1" x14ac:dyDescent="0.35">
      <c r="B4" s="221"/>
      <c r="C4" s="222"/>
      <c r="D4" s="222"/>
      <c r="E4" s="222"/>
      <c r="F4" s="222"/>
      <c r="G4" s="222"/>
      <c r="H4" s="222"/>
      <c r="I4" s="222"/>
      <c r="J4" s="222"/>
      <c r="K4" s="222"/>
      <c r="L4" s="223"/>
    </row>
    <row r="5" spans="2:13" ht="15" customHeight="1" x14ac:dyDescent="0.35">
      <c r="B5" s="221"/>
      <c r="C5" s="222"/>
      <c r="D5" s="222"/>
      <c r="E5" s="222"/>
      <c r="F5" s="222"/>
      <c r="G5" s="222"/>
      <c r="H5" s="222"/>
      <c r="I5" s="222"/>
      <c r="J5" s="222"/>
      <c r="K5" s="222"/>
      <c r="L5" s="223"/>
    </row>
    <row r="6" spans="2:13" ht="21" customHeight="1" x14ac:dyDescent="0.35">
      <c r="B6" s="132"/>
      <c r="C6" s="144"/>
      <c r="D6" s="144"/>
      <c r="E6" s="144"/>
      <c r="F6" s="144"/>
      <c r="G6" s="144"/>
      <c r="H6" s="144"/>
      <c r="I6" s="144"/>
      <c r="J6" s="144"/>
      <c r="K6" s="144"/>
      <c r="L6" s="122"/>
    </row>
    <row r="7" spans="2:13" ht="17" thickBot="1" x14ac:dyDescent="0.4">
      <c r="B7" s="132"/>
      <c r="C7" s="71" t="s">
        <v>70</v>
      </c>
      <c r="D7" s="249"/>
      <c r="E7" s="249"/>
      <c r="F7" s="249"/>
      <c r="G7" s="249"/>
      <c r="H7" s="249"/>
      <c r="I7" s="249"/>
      <c r="J7" s="249"/>
      <c r="K7" s="249"/>
      <c r="L7" s="146"/>
      <c r="M7" s="141"/>
    </row>
    <row r="8" spans="2:13" ht="35.25" customHeight="1" thickBot="1" x14ac:dyDescent="0.4">
      <c r="B8" s="132"/>
      <c r="C8" s="56" t="s">
        <v>71</v>
      </c>
      <c r="D8" s="250"/>
      <c r="E8" s="250"/>
      <c r="F8" s="250"/>
      <c r="G8" s="250"/>
      <c r="H8" s="250"/>
      <c r="I8" s="250"/>
      <c r="J8" s="250"/>
      <c r="K8" s="250"/>
      <c r="L8" s="145"/>
    </row>
    <row r="9" spans="2:13" ht="39.75" customHeight="1" thickBot="1" x14ac:dyDescent="0.4">
      <c r="B9" s="132"/>
      <c r="C9" s="149" t="s">
        <v>72</v>
      </c>
      <c r="D9" s="250"/>
      <c r="E9" s="250"/>
      <c r="F9" s="250"/>
      <c r="G9" s="250"/>
      <c r="H9" s="250"/>
      <c r="I9" s="250"/>
      <c r="J9" s="250"/>
      <c r="K9" s="250"/>
      <c r="L9" s="147"/>
    </row>
    <row r="10" spans="2:13" ht="97.5" customHeight="1" x14ac:dyDescent="0.35">
      <c r="B10" s="132"/>
      <c r="C10" s="150" t="s">
        <v>73</v>
      </c>
      <c r="D10" s="251"/>
      <c r="E10" s="251"/>
      <c r="F10" s="251"/>
      <c r="G10" s="251"/>
      <c r="H10" s="251"/>
      <c r="I10" s="251"/>
      <c r="J10" s="251"/>
      <c r="K10" s="251"/>
      <c r="L10" s="147"/>
    </row>
    <row r="11" spans="2:13" ht="18.75" customHeight="1" thickBot="1" x14ac:dyDescent="0.4">
      <c r="B11" s="148"/>
      <c r="C11" s="135"/>
      <c r="D11" s="135"/>
      <c r="E11" s="135"/>
      <c r="F11" s="135"/>
      <c r="G11" s="135"/>
      <c r="H11" s="135"/>
      <c r="I11" s="135"/>
      <c r="J11" s="135"/>
      <c r="K11" s="135"/>
      <c r="L11" s="136"/>
    </row>
    <row r="12" spans="2:13" ht="15" thickTop="1" x14ac:dyDescent="0.35"/>
  </sheetData>
  <sheetProtection algorithmName="SHA-512" hashValue="yAbydQlZlgn4Z8oBqlsLNIIFvYzW7+tVT4EdEnhqTcYh4L0C/WRvWhs1P8YT3q5s7d3M1T7SSIK/AjoP2DSJ1w==" saltValue="iyzs3ZU8Bce95WVlBoLo7Q==" spinCount="100000" sheet="1" objects="1" scenario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7"/>
  <sheetViews>
    <sheetView showRowColHeaders="0" zoomScaleNormal="100" workbookViewId="0">
      <selection activeCell="D9" sqref="D9"/>
    </sheetView>
  </sheetViews>
  <sheetFormatPr defaultColWidth="9.1796875" defaultRowHeight="14.5" x14ac:dyDescent="0.35"/>
  <cols>
    <col min="1" max="1" width="9.26953125" style="156" customWidth="1"/>
    <col min="2" max="2" width="4.81640625" style="156" customWidth="1"/>
    <col min="3" max="3" width="33.26953125" style="156" customWidth="1"/>
    <col min="4" max="4" width="26.81640625" style="156" customWidth="1"/>
    <col min="5" max="5" width="11.453125" style="156" customWidth="1"/>
    <col min="6" max="6" width="17.453125" style="156" customWidth="1"/>
    <col min="7" max="7" width="33.26953125" style="156" customWidth="1"/>
    <col min="8" max="8" width="14.1796875" style="156" customWidth="1"/>
    <col min="9" max="9" width="9" style="156" customWidth="1"/>
    <col min="10" max="10" width="2" style="156" customWidth="1"/>
    <col min="11" max="11" width="7.1796875" style="156" customWidth="1"/>
    <col min="12" max="16384" width="9.1796875" style="156"/>
  </cols>
  <sheetData>
    <row r="3" spans="1:12" x14ac:dyDescent="0.35">
      <c r="A3" s="160"/>
      <c r="B3" s="252" t="s">
        <v>74</v>
      </c>
      <c r="C3" s="253"/>
      <c r="D3" s="253"/>
      <c r="E3" s="253"/>
      <c r="F3" s="253"/>
      <c r="G3" s="253"/>
      <c r="H3" s="253"/>
      <c r="I3" s="253"/>
      <c r="J3" s="254"/>
    </row>
    <row r="4" spans="1:12" x14ac:dyDescent="0.35">
      <c r="A4" s="160"/>
      <c r="B4" s="252"/>
      <c r="C4" s="253"/>
      <c r="D4" s="253"/>
      <c r="E4" s="253"/>
      <c r="F4" s="253"/>
      <c r="G4" s="253"/>
      <c r="H4" s="253"/>
      <c r="I4" s="253"/>
      <c r="J4" s="254"/>
    </row>
    <row r="5" spans="1:12" x14ac:dyDescent="0.35">
      <c r="A5" s="160"/>
      <c r="B5" s="252"/>
      <c r="C5" s="253"/>
      <c r="D5" s="253"/>
      <c r="E5" s="253"/>
      <c r="F5" s="253"/>
      <c r="G5" s="253"/>
      <c r="H5" s="253"/>
      <c r="I5" s="253"/>
      <c r="J5" s="254"/>
    </row>
    <row r="6" spans="1:12" ht="16.5" x14ac:dyDescent="0.35">
      <c r="A6" s="160"/>
      <c r="B6" s="1"/>
      <c r="C6" s="1"/>
      <c r="D6" s="1"/>
      <c r="E6" s="1"/>
      <c r="F6" s="1"/>
      <c r="G6" s="1"/>
      <c r="H6" s="1"/>
      <c r="I6" s="1"/>
      <c r="J6" s="122"/>
      <c r="L6" s="157"/>
    </row>
    <row r="7" spans="1:12" ht="18" customHeight="1" x14ac:dyDescent="0.5">
      <c r="A7" s="160"/>
      <c r="B7" s="1"/>
      <c r="C7" s="257" t="s">
        <v>75</v>
      </c>
      <c r="D7" s="257"/>
      <c r="E7" s="1"/>
      <c r="F7" s="1"/>
      <c r="G7" s="4"/>
      <c r="H7" s="5"/>
      <c r="I7" s="5"/>
      <c r="J7" s="151"/>
      <c r="L7" s="158"/>
    </row>
    <row r="8" spans="1:12" ht="12" customHeight="1" x14ac:dyDescent="0.5">
      <c r="A8" s="160"/>
      <c r="B8" s="1"/>
      <c r="C8" s="1"/>
      <c r="D8" s="1"/>
      <c r="E8" s="1"/>
      <c r="F8" s="1"/>
      <c r="G8" s="3"/>
      <c r="H8" s="3"/>
      <c r="I8" s="3"/>
      <c r="J8" s="152"/>
      <c r="L8" s="158"/>
    </row>
    <row r="9" spans="1:12" ht="22.5" customHeight="1" thickBot="1" x14ac:dyDescent="0.55000000000000004">
      <c r="A9" s="160"/>
      <c r="B9" s="1"/>
      <c r="C9" s="69" t="s">
        <v>76</v>
      </c>
      <c r="D9" s="110"/>
      <c r="E9" s="1"/>
      <c r="F9" s="1"/>
      <c r="G9" s="1"/>
      <c r="H9" s="80"/>
      <c r="I9" s="3"/>
      <c r="J9" s="152"/>
      <c r="L9" s="158"/>
    </row>
    <row r="10" spans="1:12" ht="21" customHeight="1" thickBot="1" x14ac:dyDescent="0.55000000000000004">
      <c r="A10" s="160"/>
      <c r="B10" s="1"/>
      <c r="C10" s="68" t="s">
        <v>77</v>
      </c>
      <c r="D10" s="111">
        <v>2.4</v>
      </c>
      <c r="E10" s="6"/>
      <c r="F10" s="6"/>
      <c r="G10" s="256" t="str">
        <f>IFERROR(IF(AND($D$9&lt;DATE(2025,1,1),OR((VLOOKUP($D$13,Lookups!$C$8:$G$17,2,FALSE))&gt;(VLOOKUP($D$13,Lookups!$C$8:$G$17,4,FALSE)),(VLOOKUP($D$13,Lookups!$C$8:$G$17,3,FALSE))&gt;(VLOOKUP($D$13,Lookups!$C$8:$G$17,5,FALSE)))),"A nutrient permit is changing for the selected WwTW as of 01/01/2025. Therefore, two nutrient budgets will be calculated for the loading before and after the 2025 WwTW permit upgrade.",""),"")</f>
        <v/>
      </c>
      <c r="H10" s="80"/>
      <c r="I10" s="3"/>
      <c r="J10" s="152"/>
      <c r="K10" s="157"/>
      <c r="L10" s="159"/>
    </row>
    <row r="11" spans="1:12" ht="30.75" customHeight="1" thickBot="1" x14ac:dyDescent="0.4">
      <c r="A11" s="160"/>
      <c r="B11" s="1"/>
      <c r="C11" s="68" t="s">
        <v>78</v>
      </c>
      <c r="D11" s="112">
        <v>120</v>
      </c>
      <c r="E11" s="7"/>
      <c r="F11" s="7"/>
      <c r="G11" s="256"/>
      <c r="H11" s="80"/>
      <c r="I11" s="7"/>
      <c r="J11" s="145"/>
      <c r="K11" s="158"/>
      <c r="L11" s="159"/>
    </row>
    <row r="12" spans="1:12" ht="36" customHeight="1" thickBot="1" x14ac:dyDescent="0.4">
      <c r="A12" s="160"/>
      <c r="B12" s="1"/>
      <c r="C12" s="68" t="s">
        <v>79</v>
      </c>
      <c r="D12" s="113"/>
      <c r="E12" s="8"/>
      <c r="F12" s="8"/>
      <c r="G12" s="256"/>
      <c r="H12" s="80"/>
      <c r="I12" s="8"/>
      <c r="J12" s="147"/>
      <c r="K12" s="159"/>
    </row>
    <row r="13" spans="1:12" ht="50.25" customHeight="1" thickBot="1" x14ac:dyDescent="0.4">
      <c r="A13" s="160"/>
      <c r="B13" s="1"/>
      <c r="C13" s="70" t="s">
        <v>80</v>
      </c>
      <c r="D13" s="114"/>
      <c r="E13" s="8"/>
      <c r="F13" s="1"/>
      <c r="G13" s="256"/>
      <c r="H13" s="80"/>
      <c r="I13" s="8"/>
      <c r="J13" s="147"/>
      <c r="K13" s="159"/>
    </row>
    <row r="14" spans="1:12" ht="50.25" customHeight="1" thickBot="1" x14ac:dyDescent="0.4">
      <c r="A14" s="160"/>
      <c r="B14" s="1"/>
      <c r="C14" s="15" t="s">
        <v>81</v>
      </c>
      <c r="D14" s="78" t="str">
        <f>(IFERROR(IF(OR(D13="Package Treatment Plant user defined",D13="Septic Tank user defined"),"Please enter value in cell to the right:",IF('Stage 1'!D9&lt;DATE(2025,1,1),VLOOKUP('Stage 1'!D13,Lookups!C8:G20,2,FALSE),VLOOKUP('Stage 1'!D13,Lookups!C8:G19,4,FALSE))),""))</f>
        <v/>
      </c>
      <c r="E14" s="115"/>
      <c r="F14" s="81" t="str">
        <f>IFERROR(IF(AND($D$9&lt;DATE(2025,1,1),(VLOOKUP($D$13,Lookups!$C$8:$G$17,2,FALSE))&gt;(VLOOKUP($D$13,Lookups!$C$8:$G$17,4,FALSE))), "Post 2025 WwTW P permit:",""),"")</f>
        <v/>
      </c>
      <c r="G14" s="83" t="str">
        <f>IFERROR(IF(AND($D$9&lt;DATE(2025,1,1),(VLOOKUP($D$13,Lookups!$C$8:$G$17,2,FALSE))&gt;(VLOOKUP($D$13,Lookups!$C$8:$G$17,4,FALSE))), VLOOKUP('Stage 1'!D13,Lookups!C8:G20,4,FALSE),""),"")</f>
        <v/>
      </c>
      <c r="H14" s="26" t="str">
        <f>IFERROR(IF(AND($D$9&lt;DATE(2025,1,1),(VLOOKUP($D$13,Lookups!$C$8:$G$17,2,FALSE))&gt;(VLOOKUP($D$13,Lookups!$C$8:$G$17,4,FALSE))), "mg TP/litre",""),"")</f>
        <v/>
      </c>
      <c r="I14" s="8"/>
      <c r="J14" s="122"/>
      <c r="K14" s="159"/>
    </row>
    <row r="15" spans="1:12" ht="50.25" customHeight="1" x14ac:dyDescent="0.35">
      <c r="A15" s="160"/>
      <c r="B15" s="1"/>
      <c r="C15" s="67" t="s">
        <v>82</v>
      </c>
      <c r="D15" s="79" t="str">
        <f>IFERROR(IF(OR(D13="Package Treatment Plant user defined",D13="Septic Tank user defined"),"Please enter value in cell to the right:",IF('Stage 1'!D9&lt;DATE(2025,1,1),VLOOKUP('Stage 1'!D13,Lookups!C8:G20, 3,FALSE), VLOOKUP('Stage 1'!D13,Lookups!C8:G19, 5,FALSE))),"")</f>
        <v/>
      </c>
      <c r="E15" s="115"/>
      <c r="F15" s="82" t="str">
        <f>IFERROR(IF(AND($D$9&lt;DATE(2025,1,1),(VLOOKUP($D$13,Lookups!$C$8:$G$17,3,FALSE))&gt;(VLOOKUP($D$13,Lookups!$C$8:$G$17,5,FALSE))), "Post 2025 WwTW N permit:",""),"")</f>
        <v/>
      </c>
      <c r="G15" s="83" t="str">
        <f>IFERROR(IF(AND($D$9&lt;DATE(2025,1,1),(VLOOKUP($D$13,Lookups!$C$8:$G$17,3,FALSE))&gt;(VLOOKUP($D$13,Lookups!$C$8:$G$17,5,FALSE))), VLOOKUP('Stage 1'!D13,Lookups!$C$8:$G$20,5,FALSE),""),"")</f>
        <v/>
      </c>
      <c r="H15" s="26" t="str">
        <f>IFERROR(IF(AND($D$9&lt;DATE(2025,1,1),(VLOOKUP($D$13,Lookups!$C$8:$G$17,3,FALSE))&gt;(VLOOKUP($D$13,Lookups!$C$8:$G$17,5,FALSE))), "mg TN/litre",""),"")</f>
        <v/>
      </c>
      <c r="I15" s="8"/>
      <c r="J15" s="147"/>
      <c r="K15" s="159"/>
    </row>
    <row r="16" spans="1:12" ht="18" customHeight="1" x14ac:dyDescent="0.35">
      <c r="A16" s="160"/>
      <c r="B16" s="1"/>
      <c r="C16" s="1"/>
      <c r="D16" s="1"/>
      <c r="E16" s="1"/>
      <c r="F16" s="1"/>
      <c r="G16" s="1"/>
      <c r="H16" s="1"/>
      <c r="I16" s="1"/>
      <c r="J16" s="122"/>
    </row>
    <row r="17" spans="1:14" ht="17.5" x14ac:dyDescent="0.35">
      <c r="A17" s="160"/>
      <c r="B17" s="1"/>
      <c r="C17" s="257" t="s">
        <v>83</v>
      </c>
      <c r="D17" s="257"/>
      <c r="E17" s="1"/>
      <c r="F17" s="1"/>
      <c r="G17" s="1"/>
      <c r="H17" s="1"/>
      <c r="I17" s="1"/>
      <c r="J17" s="122"/>
    </row>
    <row r="18" spans="1:14" x14ac:dyDescent="0.35">
      <c r="A18" s="160"/>
      <c r="B18" s="1"/>
      <c r="C18" s="1"/>
      <c r="D18" s="1"/>
      <c r="E18" s="1"/>
      <c r="F18" s="1"/>
      <c r="G18" s="1"/>
      <c r="H18" s="1"/>
      <c r="I18" s="1"/>
      <c r="J18" s="153"/>
    </row>
    <row r="19" spans="1:14" ht="3.75" customHeight="1" x14ac:dyDescent="0.35">
      <c r="A19" s="160"/>
      <c r="B19" s="1"/>
      <c r="C19" s="1"/>
      <c r="D19" s="1"/>
      <c r="E19" s="1"/>
      <c r="F19" s="1"/>
      <c r="G19" s="1"/>
      <c r="H19" s="1"/>
      <c r="I19" s="1"/>
      <c r="J19" s="153"/>
      <c r="N19" s="156" t="s">
        <v>84</v>
      </c>
    </row>
    <row r="20" spans="1:14" ht="16" x14ac:dyDescent="0.35">
      <c r="A20" s="160"/>
      <c r="B20" s="1"/>
      <c r="C20" s="255" t="str">
        <f>IFERROR(IF(AND($D$9&lt;DATE(2025,1,1),OR((VLOOKUP($D$13,Lookups!$C$8:$G$17,2,FALSE))&gt;(VLOOKUP($D$13,Lookups!$C$8:$G$17,4,FALSE)),(VLOOKUP($D$13,Lookups!$C$8:$G$17,3,FALSE))&gt;(VLOOKUP($D$13,Lookups!$C$8:$G$17,5,FALSE)))),"Post-2025 Stage 1 Nutrient Loading","Stage 1 Nutrient Loading"),"")</f>
        <v/>
      </c>
      <c r="D20" s="255"/>
      <c r="E20" s="1"/>
      <c r="F20" s="1"/>
      <c r="G20" s="255" t="str">
        <f>IFERROR(IF(AND($D$9&lt;DATE(2025,1,1),OR((VLOOKUP($D$13,Lookups!$C$8:$G$17,2,FALSE))&gt;(VLOOKUP($D$13,Lookups!$C$8:$G$17,4,FALSE)),(VLOOKUP($D$13,Lookups!$C$8:$G$17,3,FALSE))&gt;(VLOOKUP($D$13,Lookups!$C$8:$G$17,5,FALSE)))),"Pre-2025 Stage 1 Nutrient Loading",""),"")</f>
        <v/>
      </c>
      <c r="H20" s="255"/>
      <c r="I20" s="1"/>
      <c r="J20" s="122"/>
    </row>
    <row r="21" spans="1:14" x14ac:dyDescent="0.35">
      <c r="A21" s="160"/>
      <c r="B21" s="1"/>
      <c r="C21" s="1"/>
      <c r="D21" s="1"/>
      <c r="E21" s="1"/>
      <c r="F21" s="1"/>
      <c r="G21" s="1"/>
      <c r="H21" s="1"/>
      <c r="I21" s="1"/>
      <c r="J21" s="153"/>
    </row>
    <row r="22" spans="1:14" ht="17" thickBot="1" x14ac:dyDescent="0.5">
      <c r="A22" s="160"/>
      <c r="B22" s="1"/>
      <c r="C22" s="58" t="s">
        <v>85</v>
      </c>
      <c r="D22" s="59" t="str">
        <f>IF(ISBLANK(D12),"",D10*D12)</f>
        <v/>
      </c>
      <c r="E22" s="28" t="s">
        <v>86</v>
      </c>
      <c r="F22" s="1"/>
      <c r="G22" s="19" t="str">
        <f>IFERROR(IF(AND($D$9&lt;DATE(2025,1,1),OR((VLOOKUP($D$13,Lookups!$C$8:$G$17,2,FALSE))&gt;(VLOOKUP($D$13,Lookups!$C$8:$G$17,4,FALSE)),(VLOOKUP($D$13,Lookups!$C$8:$G$17,3,FALSE))&gt;(VLOOKUP($D$13,Lookups!$C$8:$G$17,5,FALSE)))),"Annual wastewater TP load:",""),"")</f>
        <v/>
      </c>
      <c r="H22" s="21" t="str">
        <f>IFERROR(IF(AND($D$9&lt;DATE(2025,1,1),OR((VLOOKUP($D$13,Lookups!$C$8:$G$17,2,FALSE))&gt;(VLOOKUP($D$13,Lookups!$C$8:$G$17,4,FALSE)),(VLOOKUP($D$13,Lookups!$C$8:$G$17,3,FALSE))&gt;(VLOOKUP($D$13,Lookups!$C$8:$G$17,5,FALSE)))),IF(D14=8,(D14*D$23)/1000000*365.25,(D14*D$23*0.9)/1000000*365.25),""),"")</f>
        <v/>
      </c>
      <c r="I22" s="28" t="str">
        <f>IFERROR(IF(AND($D$9&lt;DATE(2025,1,1),OR((VLOOKUP($D$13,Lookups!$C$8:$G$17,2,FALSE))&gt;(VLOOKUP($D$13,Lookups!$C$8:$G$17,4,FALSE)),(VLOOKUP($D$13,Lookups!$C$8:$G$17,3,FALSE))&gt;(VLOOKUP($D$13,Lookups!$C$8:$G$17,5,FALSE)))),"kg TP/yr",""),"")</f>
        <v/>
      </c>
      <c r="J22" s="154"/>
    </row>
    <row r="23" spans="1:14" ht="15" thickBot="1" x14ac:dyDescent="0.4">
      <c r="A23" s="160"/>
      <c r="B23" s="1"/>
      <c r="C23" s="27" t="s">
        <v>87</v>
      </c>
      <c r="D23" s="57" t="str">
        <f>IFERROR(D22*D11,"")</f>
        <v/>
      </c>
      <c r="E23" s="28" t="s">
        <v>88</v>
      </c>
      <c r="F23" s="1"/>
      <c r="G23" s="19" t="str">
        <f>IFERROR(IF(AND($D$9&lt;DATE(2025,1,1),OR((VLOOKUP($D$13,Lookups!$C$8:$G$17,2,FALSE))&gt;(VLOOKUP($D$13,Lookups!$C$8:$G$17,4,FALSE)),(VLOOKUP($D$13,Lookups!$C$8:$G$17,3,FALSE))&gt;(VLOOKUP($D$13,Lookups!$C$8:$G$17,5,FALSE)))),"Annual wastewater TN load:",""),"")</f>
        <v/>
      </c>
      <c r="H23" s="21" t="str">
        <f>IFERROR(IF(AND($D$9&lt;DATE(2025,1,1),OR((VLOOKUP($D$13,Lookups!$C$8:$G$17,2,FALSE))&gt;(VLOOKUP($D$13,Lookups!$C$8:$G$17,4,FALSE)),(VLOOKUP($D$13,Lookups!$C$8:$G$17,3,FALSE))&gt;(VLOOKUP($D$13,Lookups!$C$8:$G$17,5,FALSE)))),IF(D15=27,(D15*D$23)/1000000*365.25,(D15*D$23*0.9)/1000000*365.25),""),"")</f>
        <v/>
      </c>
      <c r="I23" s="28" t="str">
        <f>IFERROR(IF(AND($D$9&lt;DATE(2025,1,1),OR((VLOOKUP($D$13,Lookups!$C$8:$G$17,2,FALSE))&gt;(VLOOKUP($D$13,Lookups!$C$8:$G$17,4,FALSE)),(VLOOKUP($D$13,Lookups!$C$8:$G$17,3,FALSE))&gt;(VLOOKUP($D$13,Lookups!$C$8:$G$17,5,FALSE)))),"kg TN/yr",""),"")</f>
        <v/>
      </c>
      <c r="J23" s="122"/>
    </row>
    <row r="24" spans="1:14" hidden="1" x14ac:dyDescent="0.35">
      <c r="A24" s="160"/>
      <c r="B24" s="1"/>
      <c r="C24" s="1"/>
      <c r="D24" s="1"/>
      <c r="E24" s="84"/>
      <c r="F24" s="1"/>
      <c r="G24" s="1"/>
      <c r="H24" s="1"/>
      <c r="I24" s="84"/>
      <c r="J24" s="122"/>
    </row>
    <row r="25" spans="1:14" hidden="1" x14ac:dyDescent="0.35">
      <c r="A25" s="160"/>
      <c r="B25" s="1"/>
      <c r="C25" s="1"/>
      <c r="D25" s="1"/>
      <c r="E25" s="84"/>
      <c r="F25" s="1"/>
      <c r="G25" s="87"/>
      <c r="H25" s="87"/>
      <c r="I25" s="88"/>
      <c r="J25" s="155"/>
    </row>
    <row r="26" spans="1:14" ht="15" hidden="1" thickBot="1" x14ac:dyDescent="0.4">
      <c r="A26" s="160"/>
      <c r="B26" s="1"/>
      <c r="C26" s="58" t="s">
        <v>89</v>
      </c>
      <c r="D26" s="59" t="str">
        <f>IFERROR(IF(ISNUMBER(G14),G14*D23*0.9,IF(D14="Please enter value in cell to the right:",IF(AND(D14="Please enter value in cell to the right:",ISNUMBER(E14)),D23*E14, VLOOKUP((LEFT(D13,(LEN(D13)-13))&amp;" default"),Lookups!$C$16:$E$17,2,FALSE)*D23),IF(OR(D13="Package Treatment Plant default",D13="Septic Tank default"),D14*D23,IF(D14=8,D14*D23,D14*D23*0.9)))),"")</f>
        <v/>
      </c>
      <c r="E26" s="28" t="s">
        <v>90</v>
      </c>
      <c r="F26" s="1"/>
      <c r="G26" s="89"/>
      <c r="H26" s="87"/>
      <c r="I26" s="87"/>
      <c r="J26" s="155"/>
    </row>
    <row r="27" spans="1:14" ht="15" hidden="1" thickBot="1" x14ac:dyDescent="0.4">
      <c r="A27" s="160"/>
      <c r="B27" s="1"/>
      <c r="C27" s="27" t="s">
        <v>91</v>
      </c>
      <c r="D27" s="57" t="str">
        <f>IFERROR($D$26/1000000,"")</f>
        <v/>
      </c>
      <c r="E27" s="28" t="s">
        <v>92</v>
      </c>
      <c r="F27" s="1"/>
      <c r="G27" s="89"/>
      <c r="H27" s="93"/>
      <c r="I27" s="90"/>
      <c r="J27" s="155"/>
    </row>
    <row r="28" spans="1:14" ht="15" hidden="1" thickBot="1" x14ac:dyDescent="0.4">
      <c r="A28" s="160"/>
      <c r="B28" s="1"/>
      <c r="C28" s="60" t="s">
        <v>93</v>
      </c>
      <c r="D28" s="62" t="str">
        <f>IFERROR($D$27*365.25,"")</f>
        <v/>
      </c>
      <c r="E28" s="28" t="s">
        <v>94</v>
      </c>
      <c r="F28" s="1"/>
      <c r="G28" s="89"/>
      <c r="H28" s="94"/>
      <c r="I28" s="90"/>
      <c r="J28" s="155"/>
    </row>
    <row r="29" spans="1:14" x14ac:dyDescent="0.35">
      <c r="A29" s="160"/>
      <c r="B29" s="1"/>
      <c r="C29" s="61" t="s">
        <v>95</v>
      </c>
      <c r="D29" s="63" t="str">
        <f>D28</f>
        <v/>
      </c>
      <c r="E29" s="85" t="s">
        <v>94</v>
      </c>
      <c r="F29" s="1"/>
      <c r="G29" s="91"/>
      <c r="H29" s="95"/>
      <c r="I29" s="92"/>
      <c r="J29" s="155"/>
    </row>
    <row r="30" spans="1:14" hidden="1" x14ac:dyDescent="0.35">
      <c r="A30" s="160"/>
      <c r="B30" s="1"/>
      <c r="C30" s="1"/>
      <c r="D30" s="1"/>
      <c r="E30" s="84"/>
      <c r="F30" s="1"/>
      <c r="G30" s="87"/>
      <c r="H30" s="87"/>
      <c r="I30" s="88"/>
      <c r="J30" s="155"/>
    </row>
    <row r="31" spans="1:14" hidden="1" x14ac:dyDescent="0.35">
      <c r="A31" s="160"/>
      <c r="B31" s="1"/>
      <c r="C31" s="1"/>
      <c r="D31" s="1"/>
      <c r="E31" s="84"/>
      <c r="F31" s="1"/>
      <c r="G31" s="87"/>
      <c r="H31" s="87"/>
      <c r="I31" s="88"/>
      <c r="J31" s="155"/>
    </row>
    <row r="32" spans="1:14" ht="15" hidden="1" thickBot="1" x14ac:dyDescent="0.4">
      <c r="A32" s="160"/>
      <c r="B32" s="1"/>
      <c r="C32" s="27" t="s">
        <v>96</v>
      </c>
      <c r="D32" s="57" t="str">
        <f>IFERROR(IF(ISNUMBER(G15),G15*D23*0.9,IF(D15="Please enter value in cell to the right:",IF(AND(D15="Please enter value in cell to the right:",ISNUMBER(E15)),D23*E15, VLOOKUP((LEFT(D13,(LEN(D13)-13))&amp;" default"),Lookups!$C$16:$E$17,3,FALSE)*D23),IF(OR(D13="Package Treatment Plant default",D13="Septic Tank default"),D15*D23,IF(D15=27,D15*D23,D15*D23*0.9)))),"")</f>
        <v/>
      </c>
      <c r="E32" s="28" t="s">
        <v>97</v>
      </c>
      <c r="F32" s="1"/>
      <c r="G32" s="89"/>
      <c r="H32" s="93"/>
      <c r="I32" s="90"/>
      <c r="J32" s="155"/>
    </row>
    <row r="33" spans="1:10" ht="15" hidden="1" thickBot="1" x14ac:dyDescent="0.4">
      <c r="A33" s="160"/>
      <c r="B33" s="1"/>
      <c r="C33" s="64" t="s">
        <v>98</v>
      </c>
      <c r="D33" s="65" t="str">
        <f>IFERROR($D$32/1000000,"")</f>
        <v/>
      </c>
      <c r="E33" s="28" t="s">
        <v>99</v>
      </c>
      <c r="F33" s="1"/>
      <c r="G33" s="89"/>
      <c r="H33" s="93"/>
      <c r="I33" s="90"/>
      <c r="J33" s="155"/>
    </row>
    <row r="34" spans="1:10" ht="15" hidden="1" thickBot="1" x14ac:dyDescent="0.4">
      <c r="A34" s="160"/>
      <c r="B34" s="1"/>
      <c r="C34" s="64" t="s">
        <v>100</v>
      </c>
      <c r="D34" s="66" t="str">
        <f>IFERROR($D$33*365.25,"")</f>
        <v/>
      </c>
      <c r="E34" s="28" t="s">
        <v>101</v>
      </c>
      <c r="F34" s="1"/>
      <c r="G34" s="89"/>
      <c r="H34" s="94"/>
      <c r="I34" s="90"/>
      <c r="J34" s="155"/>
    </row>
    <row r="35" spans="1:10" x14ac:dyDescent="0.35">
      <c r="A35" s="160"/>
      <c r="B35" s="1"/>
      <c r="C35" s="19" t="s">
        <v>102</v>
      </c>
      <c r="D35" s="20" t="str">
        <f>D34</f>
        <v/>
      </c>
      <c r="E35" s="85" t="s">
        <v>101</v>
      </c>
      <c r="F35" s="1"/>
      <c r="G35" s="91"/>
      <c r="H35" s="95"/>
      <c r="I35" s="92"/>
      <c r="J35" s="155"/>
    </row>
    <row r="36" spans="1:10" ht="15" thickBot="1" x14ac:dyDescent="0.4">
      <c r="A36" s="160"/>
      <c r="B36" s="148"/>
      <c r="C36" s="135"/>
      <c r="D36" s="135"/>
      <c r="E36" s="135"/>
      <c r="F36" s="135"/>
      <c r="G36" s="135"/>
      <c r="H36" s="135"/>
      <c r="I36" s="135"/>
      <c r="J36" s="136"/>
    </row>
    <row r="37" spans="1:10" ht="15" thickTop="1" x14ac:dyDescent="0.35"/>
  </sheetData>
  <sheetProtection algorithmName="SHA-512" hashValue="5pEl/u2KsAzyXpXKVojjuAEaZtgfg5C2nXVd7oA15OP6TWO00Fnf2rdrvn28RBvQL1+PExUuwWqubI0T95J05A==" saltValue="N2Gkzr2x8xxWOg7cZIEOjw==" spinCount="100000" sheet="1" selectLockedCells="1"/>
  <protectedRanges>
    <protectedRange algorithmName="SHA-512" hashValue="9eFLYwbQxhpezS4HULhG7iBaGmH5LoseTU2XnhelcWF+/l82pYUC3srt3byn/vuneXy5XFyZVPQbagh6SLqRzQ==" saltValue="CEix3VmL8kRrd4op8qAhjg==" spinCount="100000" sqref="E14:E15 D9:D13" name="Range1"/>
  </protectedRanges>
  <mergeCells count="6">
    <mergeCell ref="B3:J5"/>
    <mergeCell ref="C20:D20"/>
    <mergeCell ref="G20:H20"/>
    <mergeCell ref="G10:G13"/>
    <mergeCell ref="C17:D17"/>
    <mergeCell ref="C7:D7"/>
  </mergeCells>
  <conditionalFormatting sqref="E14:E15">
    <cfRule type="expression" dxfId="9" priority="10">
      <formula>OR(ISNUMBER($D$15),ISBLANK($D$13))</formula>
    </cfRule>
    <cfRule type="expression" dxfId="8" priority="11">
      <formula>($D$15="Please enter value in cell to the right:")</formula>
    </cfRule>
  </conditionalFormatting>
  <conditionalFormatting sqref="G14">
    <cfRule type="expression" dxfId="7" priority="5">
      <formula>ISNUMBER($G$14)</formula>
    </cfRule>
  </conditionalFormatting>
  <conditionalFormatting sqref="G10 H9:H15">
    <cfRule type="expression" dxfId="6" priority="12">
      <formula>_xlfn.ISFORMULA($G$10)</formula>
    </cfRule>
    <cfRule type="expression" dxfId="5" priority="13">
      <formula>ISTEXT($G$10)</formula>
    </cfRule>
  </conditionalFormatting>
  <conditionalFormatting sqref="G15">
    <cfRule type="expression" dxfId="4" priority="4">
      <formula>ISNUMBER($G$15)</formula>
    </cfRule>
  </conditionalFormatting>
  <conditionalFormatting sqref="H22">
    <cfRule type="expression" dxfId="3" priority="2">
      <formula>ISNUMBER($H$22)</formula>
    </cfRule>
  </conditionalFormatting>
  <conditionalFormatting sqref="H23">
    <cfRule type="expression" dxfId="2" priority="1">
      <formula>ISNUMBER(H23)</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formula1>44562</formula1>
    </dataValidation>
    <dataValidation type="decimal" operator="greaterThan" showInputMessage="1" showErrorMessage="1" prompt="The average occupancy rate (people per dwelling/unit) should not be edited unless there is sufficient evidence." sqref="D10">
      <formula1>0</formula1>
    </dataValidation>
    <dataValidation type="whole" operator="greaterThan" showInputMessage="1" showErrorMessage="1" errorTitle="Water usage:" error="Please enter a whole number in litres/person/day" prompt="Keep as 120 unless other efficiency measures are used. " sqref="D11">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'C:\Users\DS56\OneDrive - Ricardo Plc\NE NN\[Copy of Herefordshire Council Phosphate Budget Calculator_Final.xlsx]Stage 2 and 3 lookups'!#REF!</xm:f>
          </x14:formula1>
          <xm:sqref>J8:J10</xm:sqref>
        </x14:dataValidation>
        <x14:dataValidation type="list" allowBlank="1" showInputMessage="1" showErrorMessage="1">
          <x14:formula1>
            <xm:f>Lookups!$C$8:$C$19</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4"/>
  <sheetViews>
    <sheetView showRowColHeaders="0" zoomScaleNormal="100" workbookViewId="0">
      <selection activeCell="C15" sqref="C15:D15"/>
    </sheetView>
  </sheetViews>
  <sheetFormatPr defaultColWidth="9.1796875" defaultRowHeight="14.5" x14ac:dyDescent="0.35"/>
  <cols>
    <col min="1" max="1" width="9.1796875" style="137"/>
    <col min="2" max="2" width="4.7265625" style="137" customWidth="1"/>
    <col min="3" max="3" width="32.1796875" style="137" customWidth="1"/>
    <col min="4" max="4" width="8.453125" style="137" bestFit="1" customWidth="1"/>
    <col min="5" max="5" width="21.1796875" style="137" customWidth="1"/>
    <col min="6" max="6" width="17.7265625" style="137" customWidth="1"/>
    <col min="7" max="7" width="5.453125" style="137" customWidth="1"/>
    <col min="8" max="8" width="8.1796875" style="137" customWidth="1"/>
    <col min="9" max="9" width="9.1796875" style="137" customWidth="1"/>
    <col min="10" max="10" width="26.1796875" style="137" customWidth="1"/>
    <col min="11" max="16384" width="9.1796875" style="137"/>
  </cols>
  <sheetData>
    <row r="3" spans="1:10" x14ac:dyDescent="0.35">
      <c r="A3" s="138"/>
      <c r="B3" s="252" t="s">
        <v>103</v>
      </c>
      <c r="C3" s="253"/>
      <c r="D3" s="253"/>
      <c r="E3" s="253"/>
      <c r="F3" s="253"/>
      <c r="G3" s="254"/>
    </row>
    <row r="4" spans="1:10" x14ac:dyDescent="0.35">
      <c r="A4" s="138"/>
      <c r="B4" s="252"/>
      <c r="C4" s="253"/>
      <c r="D4" s="253"/>
      <c r="E4" s="253"/>
      <c r="F4" s="253"/>
      <c r="G4" s="254"/>
    </row>
    <row r="5" spans="1:10" x14ac:dyDescent="0.35">
      <c r="A5" s="138"/>
      <c r="B5" s="252"/>
      <c r="C5" s="253"/>
      <c r="D5" s="253"/>
      <c r="E5" s="253"/>
      <c r="F5" s="253"/>
      <c r="G5" s="254"/>
    </row>
    <row r="6" spans="1:10" ht="16.5" x14ac:dyDescent="0.35">
      <c r="A6" s="138"/>
      <c r="B6" s="1"/>
      <c r="C6" s="1"/>
      <c r="D6" s="1"/>
      <c r="E6" s="1"/>
      <c r="F6" s="1"/>
      <c r="G6" s="146"/>
    </row>
    <row r="7" spans="1:10" ht="18" customHeight="1" x14ac:dyDescent="0.35">
      <c r="A7" s="138"/>
      <c r="B7" s="1"/>
      <c r="C7" s="261" t="s">
        <v>75</v>
      </c>
      <c r="D7" s="261"/>
      <c r="E7" s="261"/>
      <c r="F7" s="261"/>
      <c r="G7" s="145"/>
    </row>
    <row r="8" spans="1:10" ht="12" customHeight="1" x14ac:dyDescent="0.35">
      <c r="A8" s="138"/>
      <c r="B8" s="1"/>
      <c r="C8" s="1"/>
      <c r="D8" s="1"/>
      <c r="E8" s="1"/>
      <c r="F8" s="1"/>
      <c r="G8" s="145"/>
    </row>
    <row r="9" spans="1:10" ht="17" thickBot="1" x14ac:dyDescent="0.4">
      <c r="A9" s="138"/>
      <c r="B9" s="1"/>
      <c r="C9" s="259" t="s">
        <v>104</v>
      </c>
      <c r="D9" s="259"/>
      <c r="E9" s="103"/>
      <c r="F9" s="1"/>
      <c r="G9" s="145"/>
    </row>
    <row r="10" spans="1:10" ht="17" thickBot="1" x14ac:dyDescent="0.4">
      <c r="A10" s="138"/>
      <c r="B10" s="1"/>
      <c r="C10" s="260" t="s">
        <v>105</v>
      </c>
      <c r="D10" s="260"/>
      <c r="E10" s="104"/>
      <c r="F10" s="1"/>
      <c r="G10" s="147"/>
    </row>
    <row r="11" spans="1:10" ht="17" thickBot="1" x14ac:dyDescent="0.4">
      <c r="A11" s="138"/>
      <c r="B11" s="1"/>
      <c r="C11" s="260" t="s">
        <v>106</v>
      </c>
      <c r="D11" s="260"/>
      <c r="E11" s="105"/>
      <c r="F11" s="1"/>
      <c r="G11" s="147"/>
    </row>
    <row r="12" spans="1:10" x14ac:dyDescent="0.35">
      <c r="A12" s="138"/>
      <c r="B12" s="1"/>
      <c r="C12" s="258" t="s">
        <v>107</v>
      </c>
      <c r="D12" s="258"/>
      <c r="E12" s="106"/>
      <c r="F12" s="1"/>
      <c r="G12" s="122"/>
    </row>
    <row r="13" spans="1:10" x14ac:dyDescent="0.35">
      <c r="A13" s="138"/>
      <c r="B13" s="1"/>
      <c r="C13" s="1"/>
      <c r="D13" s="1"/>
      <c r="E13" s="1"/>
      <c r="F13" s="1"/>
      <c r="G13" s="122"/>
    </row>
    <row r="14" spans="1:10" ht="63" customHeight="1" thickBot="1" x14ac:dyDescent="0.4">
      <c r="A14" s="138"/>
      <c r="B14" s="1"/>
      <c r="C14" s="73" t="s">
        <v>108</v>
      </c>
      <c r="D14" s="74" t="s">
        <v>109</v>
      </c>
      <c r="E14" s="74" t="s">
        <v>110</v>
      </c>
      <c r="F14" s="75" t="s">
        <v>111</v>
      </c>
      <c r="G14" s="122"/>
    </row>
    <row r="15" spans="1:10" x14ac:dyDescent="0.35">
      <c r="A15" s="138"/>
      <c r="B15" s="1"/>
      <c r="C15" s="107"/>
      <c r="D15" s="180"/>
      <c r="E15" s="179" t="str">
        <f>IF(OR(ISBLANK($C15),ISBLANK($D15),ISBLANK($E$10),ISBLANK($E$11)),"",IFERROR($D15*VLOOKUP((IF(OR($C15="Residential urban land",$C15="Commercial/industrial urban land",$C15="Open urban land",$C15="Greenspace",$C15="Community food growing",$C15="Woodland",$C15="Shrub", $C15="Water"), "|||"&amp;$C15, (VLOOKUP('Stage 2'!$E$9,Lookups!$C$179:$D$179,2,FALSE)&amp;"|"&amp;$C15&amp;"|"&amp;VLOOKUP('Stage 2'!$E$12,Lookups!$C$193:$D$194,2,FALSE)&amp;"|"&amp;VLOOKUP('Stage 2'!$E$11,Lookups!$C$153:$E$175,3,FALSE)&amp;"|"&amp;VLOOKUP($E$10,Lookups!$C$184:$D$189,2,FALSE)))),Lookups!$H$23:$J$149,2,FALSE),
IFERROR(IFERROR($D15*VLOOKUP($C15&amp;"|"&amp;VLOOKUP('Stage 2'!$E$12,Lookups!$C$193:$D$194,2,FALSE)&amp;"|"&amp;VLOOKUP('Stage 2'!$E$11,Lookups!$C$153:$E$175,3,FALSE)&amp;"|"&amp;VLOOKUP($E$10,Lookups!$C$184:$D$189,2,FALSE),Lookups!$H$23:$J$149,2,FALSE),IFERROR($D15*VLOOKUP($C15&amp;"|"&amp;"FALSE"&amp;"|"&amp;VLOOKUP('Stage 2'!$E$11,Lookups!$C$153:$E$175,3,FALSE)&amp;"|"&amp;VLOOKUP($E$10,Lookups!$C$184:$D$189,2,FALSE),Lookups!$H$23:$J$149,2,FALSE),$D15*VLOOKUP($C15&amp;"|"&amp;VLOOKUP('Stage 2'!$E$12,Lookups!$C$193:$D$194,2,FALSE)&amp;"|"&amp;VLOOKUP('Stage 2'!$E$11,Lookups!$C$153:$E$175,3,FALSE)&amp;"|"&amp;"DrainedArGr",Lookups!$H$23:$J$149,2,FALSE))),IFERROR($D15*VLOOKUP($C15&amp;"|"&amp;VLOOKUP('Stage 2'!$E$11,Lookups!$C$153:$E$175,3,FALSE),Lookups!$K$23:$M$141,2,FALSE),$D15*VLOOKUP($C15,Lookups!$D$23:$O$141,11,FALSE)))))</f>
        <v/>
      </c>
      <c r="F15" s="178" t="str">
        <f>IF(OR(ISBLANK($C15),ISBLANK($D15),ISBLANK($E$10),ISBLANK($E$11)),"",IFERROR($D15*VLOOKUP((IF(OR($C15="Residential urban land",$C15="Commercial/industrial urban land",$C15="Open urban land",$C15="Greenspace",$C15="Community food growing",$C15="Woodland",$C15="Shrub", $C15="Water"), "|||"&amp;$C15, (VLOOKUP('Stage 2'!$E$9,Lookups!$C$179:$D$179,2,FALSE)&amp;"|"&amp;$C15&amp;"|"&amp;VLOOKUP('Stage 2'!$E$12,Lookups!$C$193:$D$194,2,FALSE)&amp;"|"&amp;VLOOKUP('Stage 2'!$E$11,Lookups!$C$153:$E$175,3,FALSE)&amp;"|"&amp;VLOOKUP($E$10,Lookups!$C$184:$D$189,2,FALSE)))),Lookups!$H$23:$J$149,3,FALSE),
IFERROR(IFERROR($D15*VLOOKUP($C15&amp;"|"&amp;VLOOKUP('Stage 2'!$E$12,Lookups!$C$193:$D$194,2,FALSE)&amp;"|"&amp;VLOOKUP('Stage 2'!$E$11,Lookups!$C$153:$E$175,3,FALSE)&amp;"|"&amp;VLOOKUP($E$10,Lookups!$C$184:$D$189,2,FALSE),Lookups!$H$23:$J$149,3,FALSE),IFERROR($D15*VLOOKUP($C15&amp;"|"&amp;"FALSE"&amp;"|"&amp;VLOOKUP('Stage 2'!$E$11,Lookups!$C$153:$E$175,3,FALSE)&amp;"|"&amp;VLOOKUP($E$10,Lookups!$C$184:$D$189,2,FALSE),Lookups!$H$23:$J$149,3,FALSE),$D15*VLOOKUP($C15&amp;"|"&amp;VLOOKUP('Stage 2'!$E$12,Lookups!$C$193:$D$194,2,FALSE)&amp;"|"&amp;VLOOKUP('Stage 2'!$E$11,Lookups!$C$153:$E$175,3,FALSE)&amp;"|"&amp;"DrainedArGr",Lookups!$H$23:$J$149,3,FALSE))),IFERROR($D15*VLOOKUP($C15&amp;"|"&amp;VLOOKUP('Stage 2'!$E$11,Lookups!$C$153:$E$175,3,FALSE),Lookups!$K$23:$M$141,3,FALSE),$D15*VLOOKUP($C15,Lookups!$D$23:$O$141,12,FALSE)))))</f>
        <v/>
      </c>
      <c r="G15" s="161"/>
      <c r="H15" s="162"/>
      <c r="I15" s="162"/>
      <c r="J15" s="162"/>
    </row>
    <row r="16" spans="1:10" x14ac:dyDescent="0.35">
      <c r="A16" s="138"/>
      <c r="B16" s="1"/>
      <c r="C16" s="107"/>
      <c r="D16" s="108"/>
      <c r="E16" s="179" t="str">
        <f>IF(OR(ISBLANK($C16),ISBLANK($D16),ISBLANK($E$10),ISBLANK($E$11)),"",IFERROR($D16*VLOOKUP((IF(OR($C16="Residential urban land",$C16="Commercial/industrial urban land",$C16="Open urban land",$C16="Greenspace",$C16="Community food growing",$C16="Woodland",$C16="Shrub", $C16="Water"), "|||"&amp;$C16, (VLOOKUP('Stage 2'!$E$9,Lookups!$C$179:$D$179,2,FALSE)&amp;"|"&amp;$C16&amp;"|"&amp;VLOOKUP('Stage 2'!$E$12,Lookups!$C$193:$D$194,2,FALSE)&amp;"|"&amp;VLOOKUP('Stage 2'!$E$11,Lookups!$C$153:$E$175,3,FALSE)&amp;"|"&amp;VLOOKUP($E$10,Lookups!$C$184:$D$189,2,FALSE)))),Lookups!$H$23:$J$149,2,FALSE),
IFERROR(IFERROR($D16*VLOOKUP($C16&amp;"|"&amp;VLOOKUP('Stage 2'!$E$12,Lookups!$C$193:$D$194,2,FALSE)&amp;"|"&amp;VLOOKUP('Stage 2'!$E$11,Lookups!$C$153:$E$175,3,FALSE)&amp;"|"&amp;VLOOKUP($E$10,Lookups!$C$184:$D$189,2,FALSE),Lookups!$H$23:$J$149,2,FALSE),IFERROR($D16*VLOOKUP($C16&amp;"|"&amp;"FALSE"&amp;"|"&amp;VLOOKUP('Stage 2'!$E$11,Lookups!$C$153:$E$175,3,FALSE)&amp;"|"&amp;VLOOKUP($E$10,Lookups!$C$184:$D$189,2,FALSE),Lookups!$H$23:$J$149,2,FALSE),$D16*VLOOKUP($C16&amp;"|"&amp;VLOOKUP('Stage 2'!$E$12,Lookups!$C$193:$D$194,2,FALSE)&amp;"|"&amp;VLOOKUP('Stage 2'!$E$11,Lookups!$C$153:$E$175,3,FALSE)&amp;"|"&amp;"DrainedArGr",Lookups!$H$23:$J$149,2,FALSE))),IFERROR($D16*VLOOKUP($C16&amp;"|"&amp;VLOOKUP('Stage 2'!$E$11,Lookups!$C$153:$E$175,3,FALSE),Lookups!$K$23:$M$141,2,FALSE),$D16*VLOOKUP($C16,Lookups!$D$23:$O$141,11,FALSE)))))</f>
        <v/>
      </c>
      <c r="F16" s="178" t="str">
        <f>IF(OR(ISBLANK($C16),ISBLANK($D16),ISBLANK($E$10),ISBLANK($E$11)),"",IFERROR($D16*VLOOKUP((IF(OR($C16="Residential urban land",$C16="Commercial/industrial urban land",$C16="Open urban land",$C16="Greenspace",$C16="Community food growing",$C16="Woodland",$C16="Shrub", $C16="Water"), "|||"&amp;$C16, (VLOOKUP('Stage 2'!$E$9,Lookups!$C$179:$D$179,2,FALSE)&amp;"|"&amp;$C16&amp;"|"&amp;VLOOKUP('Stage 2'!$E$12,Lookups!$C$193:$D$194,2,FALSE)&amp;"|"&amp;VLOOKUP('Stage 2'!$E$11,Lookups!$C$153:$E$175,3,FALSE)&amp;"|"&amp;VLOOKUP($E$10,Lookups!$C$184:$D$189,2,FALSE)))),Lookups!$H$23:$J$149,3,FALSE),
IFERROR(IFERROR($D16*VLOOKUP($C16&amp;"|"&amp;VLOOKUP('Stage 2'!$E$12,Lookups!$C$193:$D$194,2,FALSE)&amp;"|"&amp;VLOOKUP('Stage 2'!$E$11,Lookups!$C$153:$E$175,3,FALSE)&amp;"|"&amp;VLOOKUP($E$10,Lookups!$C$184:$D$189,2,FALSE),Lookups!$H$23:$J$149,3,FALSE),IFERROR($D16*VLOOKUP($C16&amp;"|"&amp;"FALSE"&amp;"|"&amp;VLOOKUP('Stage 2'!$E$11,Lookups!$C$153:$E$175,3,FALSE)&amp;"|"&amp;VLOOKUP($E$10,Lookups!$C$184:$D$189,2,FALSE),Lookups!$H$23:$J$149,3,FALSE),$D16*VLOOKUP($C16&amp;"|"&amp;VLOOKUP('Stage 2'!$E$12,Lookups!$C$193:$D$194,2,FALSE)&amp;"|"&amp;VLOOKUP('Stage 2'!$E$11,Lookups!$C$153:$E$175,3,FALSE)&amp;"|"&amp;"DrainedArGr",Lookups!$H$23:$J$149,3,FALSE))),IFERROR($D16*VLOOKUP($C16&amp;"|"&amp;VLOOKUP('Stage 2'!$E$11,Lookups!$C$153:$E$175,3,FALSE),Lookups!$K$23:$M$141,3,FALSE),$D16*VLOOKUP($C16,Lookups!$D$23:$O$141,12,FALSE)))))</f>
        <v/>
      </c>
      <c r="G16" s="161"/>
      <c r="H16" s="162"/>
      <c r="I16" s="162"/>
      <c r="J16" s="162"/>
    </row>
    <row r="17" spans="1:10" x14ac:dyDescent="0.35">
      <c r="A17" s="138"/>
      <c r="B17" s="1"/>
      <c r="C17" s="107"/>
      <c r="D17" s="108"/>
      <c r="E17" s="179" t="str">
        <f>IF(OR(ISBLANK($C17),ISBLANK($D17),ISBLANK($E$10),ISBLANK($E$11)),"",IFERROR($D17*VLOOKUP((IF(OR($C17="Residential urban land",$C17="Commercial/industrial urban land",$C17="Open urban land",$C17="Greenspace",$C17="Community food growing",$C17="Woodland",$C17="Shrub", $C17="Water"), "|||"&amp;$C17, (VLOOKUP('Stage 2'!$E$9,Lookups!$C$179:$D$179,2,FALSE)&amp;"|"&amp;$C17&amp;"|"&amp;VLOOKUP('Stage 2'!$E$12,Lookups!$C$193:$D$194,2,FALSE)&amp;"|"&amp;VLOOKUP('Stage 2'!$E$11,Lookups!$C$153:$E$175,3,FALSE)&amp;"|"&amp;VLOOKUP($E$10,Lookups!$C$184:$D$189,2,FALSE)))),Lookups!$H$23:$J$149,2,FALSE),
IFERROR(IFERROR($D17*VLOOKUP($C17&amp;"|"&amp;VLOOKUP('Stage 2'!$E$12,Lookups!$C$193:$D$194,2,FALSE)&amp;"|"&amp;VLOOKUP('Stage 2'!$E$11,Lookups!$C$153:$E$175,3,FALSE)&amp;"|"&amp;VLOOKUP($E$10,Lookups!$C$184:$D$189,2,FALSE),Lookups!$H$23:$J$149,2,FALSE),IFERROR($D17*VLOOKUP($C17&amp;"|"&amp;"FALSE"&amp;"|"&amp;VLOOKUP('Stage 2'!$E$11,Lookups!$C$153:$E$175,3,FALSE)&amp;"|"&amp;VLOOKUP($E$10,Lookups!$C$184:$D$189,2,FALSE),Lookups!$H$23:$J$149,2,FALSE),$D17*VLOOKUP($C17&amp;"|"&amp;VLOOKUP('Stage 2'!$E$12,Lookups!$C$193:$D$194,2,FALSE)&amp;"|"&amp;VLOOKUP('Stage 2'!$E$11,Lookups!$C$153:$E$175,3,FALSE)&amp;"|"&amp;"DrainedArGr",Lookups!$H$23:$J$149,2,FALSE))),IFERROR($D17*VLOOKUP($C17&amp;"|"&amp;VLOOKUP('Stage 2'!$E$11,Lookups!$C$153:$E$175,3,FALSE),Lookups!$K$23:$M$141,2,FALSE),$D17*VLOOKUP($C17,Lookups!$D$23:$O$141,11,FALSE)))))</f>
        <v/>
      </c>
      <c r="F17" s="178" t="str">
        <f>IF(OR(ISBLANK($C17),ISBLANK($D17),ISBLANK($E$10),ISBLANK($E$11)),"",IFERROR($D17*VLOOKUP((IF(OR($C17="Residential urban land",$C17="Commercial/industrial urban land",$C17="Open urban land",$C17="Greenspace",$C17="Community food growing",$C17="Woodland",$C17="Shrub", $C17="Water"), "|||"&amp;$C17, (VLOOKUP('Stage 2'!$E$9,Lookups!$C$179:$D$179,2,FALSE)&amp;"|"&amp;$C17&amp;"|"&amp;VLOOKUP('Stage 2'!$E$12,Lookups!$C$193:$D$194,2,FALSE)&amp;"|"&amp;VLOOKUP('Stage 2'!$E$11,Lookups!$C$153:$E$175,3,FALSE)&amp;"|"&amp;VLOOKUP($E$10,Lookups!$C$184:$D$189,2,FALSE)))),Lookups!$H$23:$J$149,3,FALSE),
IFERROR(IFERROR($D17*VLOOKUP($C17&amp;"|"&amp;VLOOKUP('Stage 2'!$E$12,Lookups!$C$193:$D$194,2,FALSE)&amp;"|"&amp;VLOOKUP('Stage 2'!$E$11,Lookups!$C$153:$E$175,3,FALSE)&amp;"|"&amp;VLOOKUP($E$10,Lookups!$C$184:$D$189,2,FALSE),Lookups!$H$23:$J$149,3,FALSE),IFERROR($D17*VLOOKUP($C17&amp;"|"&amp;"FALSE"&amp;"|"&amp;VLOOKUP('Stage 2'!$E$11,Lookups!$C$153:$E$175,3,FALSE)&amp;"|"&amp;VLOOKUP($E$10,Lookups!$C$184:$D$189,2,FALSE),Lookups!$H$23:$J$149,3,FALSE),$D17*VLOOKUP($C17&amp;"|"&amp;VLOOKUP('Stage 2'!$E$12,Lookups!$C$193:$D$194,2,FALSE)&amp;"|"&amp;VLOOKUP('Stage 2'!$E$11,Lookups!$C$153:$E$175,3,FALSE)&amp;"|"&amp;"DrainedArGr",Lookups!$H$23:$J$149,3,FALSE))),IFERROR($D17*VLOOKUP($C17&amp;"|"&amp;VLOOKUP('Stage 2'!$E$11,Lookups!$C$153:$E$175,3,FALSE),Lookups!$K$23:$M$141,3,FALSE),$D17*VLOOKUP($C17,Lookups!$D$23:$O$141,12,FALSE)))))</f>
        <v/>
      </c>
      <c r="G17" s="161"/>
      <c r="H17" s="162"/>
      <c r="I17" s="162"/>
      <c r="J17" s="162"/>
    </row>
    <row r="18" spans="1:10" x14ac:dyDescent="0.35">
      <c r="A18" s="138"/>
      <c r="B18" s="1"/>
      <c r="C18" s="107"/>
      <c r="D18" s="108"/>
      <c r="E18" s="179" t="str">
        <f>IF(OR(ISBLANK($C18),ISBLANK($D18),ISBLANK($E$10),ISBLANK($E$11)),"",IFERROR($D18*VLOOKUP((IF(OR($C18="Residential urban land",$C18="Commercial/industrial urban land",$C18="Open urban land",$C18="Greenspace",$C18="Community food growing",$C18="Woodland",$C18="Shrub", $C18="Water"), "|||"&amp;$C18, (VLOOKUP('Stage 2'!$E$9,Lookups!$C$179:$D$179,2,FALSE)&amp;"|"&amp;$C18&amp;"|"&amp;VLOOKUP('Stage 2'!$E$12,Lookups!$C$193:$D$194,2,FALSE)&amp;"|"&amp;VLOOKUP('Stage 2'!$E$11,Lookups!$C$153:$E$175,3,FALSE)&amp;"|"&amp;VLOOKUP($E$10,Lookups!$C$184:$D$189,2,FALSE)))),Lookups!$H$23:$J$149,2,FALSE),
IFERROR(IFERROR($D18*VLOOKUP($C18&amp;"|"&amp;VLOOKUP('Stage 2'!$E$12,Lookups!$C$193:$D$194,2,FALSE)&amp;"|"&amp;VLOOKUP('Stage 2'!$E$11,Lookups!$C$153:$E$175,3,FALSE)&amp;"|"&amp;VLOOKUP($E$10,Lookups!$C$184:$D$189,2,FALSE),Lookups!$H$23:$J$149,2,FALSE),IFERROR($D18*VLOOKUP($C18&amp;"|"&amp;"FALSE"&amp;"|"&amp;VLOOKUP('Stage 2'!$E$11,Lookups!$C$153:$E$175,3,FALSE)&amp;"|"&amp;VLOOKUP($E$10,Lookups!$C$184:$D$189,2,FALSE),Lookups!$H$23:$J$149,2,FALSE),$D18*VLOOKUP($C18&amp;"|"&amp;VLOOKUP('Stage 2'!$E$12,Lookups!$C$193:$D$194,2,FALSE)&amp;"|"&amp;VLOOKUP('Stage 2'!$E$11,Lookups!$C$153:$E$175,3,FALSE)&amp;"|"&amp;"DrainedArGr",Lookups!$H$23:$J$149,2,FALSE))),IFERROR($D18*VLOOKUP($C18&amp;"|"&amp;VLOOKUP('Stage 2'!$E$11,Lookups!$C$153:$E$175,3,FALSE),Lookups!$K$23:$M$141,2,FALSE),$D18*VLOOKUP($C18,Lookups!$D$23:$O$141,11,FALSE)))))</f>
        <v/>
      </c>
      <c r="F18" s="178" t="str">
        <f>IF(OR(ISBLANK($C18),ISBLANK($D18),ISBLANK($E$10),ISBLANK($E$11)),"",IFERROR($D18*VLOOKUP((IF(OR($C18="Residential urban land",$C18="Commercial/industrial urban land",$C18="Open urban land",$C18="Greenspace",$C18="Community food growing",$C18="Woodland",$C18="Shrub", $C18="Water"), "|||"&amp;$C18, (VLOOKUP('Stage 2'!$E$9,Lookups!$C$179:$D$179,2,FALSE)&amp;"|"&amp;$C18&amp;"|"&amp;VLOOKUP('Stage 2'!$E$12,Lookups!$C$193:$D$194,2,FALSE)&amp;"|"&amp;VLOOKUP('Stage 2'!$E$11,Lookups!$C$153:$E$175,3,FALSE)&amp;"|"&amp;VLOOKUP($E$10,Lookups!$C$184:$D$189,2,FALSE)))),Lookups!$H$23:$J$149,3,FALSE),
IFERROR(IFERROR($D18*VLOOKUP($C18&amp;"|"&amp;VLOOKUP('Stage 2'!$E$12,Lookups!$C$193:$D$194,2,FALSE)&amp;"|"&amp;VLOOKUP('Stage 2'!$E$11,Lookups!$C$153:$E$175,3,FALSE)&amp;"|"&amp;VLOOKUP($E$10,Lookups!$C$184:$D$189,2,FALSE),Lookups!$H$23:$J$149,3,FALSE),IFERROR($D18*VLOOKUP($C18&amp;"|"&amp;"FALSE"&amp;"|"&amp;VLOOKUP('Stage 2'!$E$11,Lookups!$C$153:$E$175,3,FALSE)&amp;"|"&amp;VLOOKUP($E$10,Lookups!$C$184:$D$189,2,FALSE),Lookups!$H$23:$J$149,3,FALSE),$D18*VLOOKUP($C18&amp;"|"&amp;VLOOKUP('Stage 2'!$E$12,Lookups!$C$193:$D$194,2,FALSE)&amp;"|"&amp;VLOOKUP('Stage 2'!$E$11,Lookups!$C$153:$E$175,3,FALSE)&amp;"|"&amp;"DrainedArGr",Lookups!$H$23:$J$149,3,FALSE))),IFERROR($D18*VLOOKUP($C18&amp;"|"&amp;VLOOKUP('Stage 2'!$E$11,Lookups!$C$153:$E$175,3,FALSE),Lookups!$K$23:$M$141,3,FALSE),$D18*VLOOKUP($C18,Lookups!$D$23:$O$141,12,FALSE)))))</f>
        <v/>
      </c>
      <c r="G18" s="161"/>
      <c r="H18" s="162"/>
      <c r="I18" s="162"/>
      <c r="J18" s="162"/>
    </row>
    <row r="19" spans="1:10" x14ac:dyDescent="0.35">
      <c r="A19" s="138"/>
      <c r="B19" s="1"/>
      <c r="C19" s="107"/>
      <c r="D19" s="108"/>
      <c r="E19" s="179" t="str">
        <f>IF(OR(ISBLANK($C19),ISBLANK($D19),ISBLANK($E$10),ISBLANK($E$11)),"",IFERROR($D19*VLOOKUP((IF(OR($C19="Residential urban land",$C19="Commercial/industrial urban land",$C19="Open urban land",$C19="Greenspace",$C19="Community food growing",$C19="Woodland",$C19="Shrub", $C19="Water"), "|||"&amp;$C19, (VLOOKUP('Stage 2'!$E$9,Lookups!$C$179:$D$179,2,FALSE)&amp;"|"&amp;$C19&amp;"|"&amp;VLOOKUP('Stage 2'!$E$12,Lookups!$C$193:$D$194,2,FALSE)&amp;"|"&amp;VLOOKUP('Stage 2'!$E$11,Lookups!$C$153:$E$175,3,FALSE)&amp;"|"&amp;VLOOKUP($E$10,Lookups!$C$184:$D$189,2,FALSE)))),Lookups!$H$23:$J$149,2,FALSE),
IFERROR(IFERROR($D19*VLOOKUP($C19&amp;"|"&amp;VLOOKUP('Stage 2'!$E$12,Lookups!$C$193:$D$194,2,FALSE)&amp;"|"&amp;VLOOKUP('Stage 2'!$E$11,Lookups!$C$153:$E$175,3,FALSE)&amp;"|"&amp;VLOOKUP($E$10,Lookups!$C$184:$D$189,2,FALSE),Lookups!$H$23:$J$149,2,FALSE),IFERROR($D19*VLOOKUP($C19&amp;"|"&amp;"FALSE"&amp;"|"&amp;VLOOKUP('Stage 2'!$E$11,Lookups!$C$153:$E$175,3,FALSE)&amp;"|"&amp;VLOOKUP($E$10,Lookups!$C$184:$D$189,2,FALSE),Lookups!$H$23:$J$149,2,FALSE),$D19*VLOOKUP($C19&amp;"|"&amp;VLOOKUP('Stage 2'!$E$12,Lookups!$C$193:$D$194,2,FALSE)&amp;"|"&amp;VLOOKUP('Stage 2'!$E$11,Lookups!$C$153:$E$175,3,FALSE)&amp;"|"&amp;"DrainedArGr",Lookups!$H$23:$J$149,2,FALSE))),IFERROR($D19*VLOOKUP($C19&amp;"|"&amp;VLOOKUP('Stage 2'!$E$11,Lookups!$C$153:$E$175,3,FALSE),Lookups!$K$23:$M$141,2,FALSE),$D19*VLOOKUP($C19,Lookups!$D$23:$O$141,11,FALSE)))))</f>
        <v/>
      </c>
      <c r="F19" s="178" t="str">
        <f>IF(OR(ISBLANK($C19),ISBLANK($D19),ISBLANK($E$10),ISBLANK($E$11)),"",IFERROR($D19*VLOOKUP((IF(OR($C19="Residential urban land",$C19="Commercial/industrial urban land",$C19="Open urban land",$C19="Greenspace",$C19="Community food growing",$C19="Woodland",$C19="Shrub", $C19="Water"), "|||"&amp;$C19, (VLOOKUP('Stage 2'!$E$9,Lookups!$C$179:$D$179,2,FALSE)&amp;"|"&amp;$C19&amp;"|"&amp;VLOOKUP('Stage 2'!$E$12,Lookups!$C$193:$D$194,2,FALSE)&amp;"|"&amp;VLOOKUP('Stage 2'!$E$11,Lookups!$C$153:$E$175,3,FALSE)&amp;"|"&amp;VLOOKUP($E$10,Lookups!$C$184:$D$189,2,FALSE)))),Lookups!$H$23:$J$149,3,FALSE),
IFERROR(IFERROR($D19*VLOOKUP($C19&amp;"|"&amp;VLOOKUP('Stage 2'!$E$12,Lookups!$C$193:$D$194,2,FALSE)&amp;"|"&amp;VLOOKUP('Stage 2'!$E$11,Lookups!$C$153:$E$175,3,FALSE)&amp;"|"&amp;VLOOKUP($E$10,Lookups!$C$184:$D$189,2,FALSE),Lookups!$H$23:$J$149,3,FALSE),IFERROR($D19*VLOOKUP($C19&amp;"|"&amp;"FALSE"&amp;"|"&amp;VLOOKUP('Stage 2'!$E$11,Lookups!$C$153:$E$175,3,FALSE)&amp;"|"&amp;VLOOKUP($E$10,Lookups!$C$184:$D$189,2,FALSE),Lookups!$H$23:$J$149,3,FALSE),$D19*VLOOKUP($C19&amp;"|"&amp;VLOOKUP('Stage 2'!$E$12,Lookups!$C$193:$D$194,2,FALSE)&amp;"|"&amp;VLOOKUP('Stage 2'!$E$11,Lookups!$C$153:$E$175,3,FALSE)&amp;"|"&amp;"DrainedArGr",Lookups!$H$23:$J$149,3,FALSE))),IFERROR($D19*VLOOKUP($C19&amp;"|"&amp;VLOOKUP('Stage 2'!$E$11,Lookups!$C$153:$E$175,3,FALSE),Lookups!$K$23:$M$141,3,FALSE),$D19*VLOOKUP($C19,Lookups!$D$23:$O$141,12,FALSE)))))</f>
        <v/>
      </c>
      <c r="G19" s="161"/>
      <c r="H19" s="162"/>
      <c r="I19" s="162"/>
      <c r="J19" s="162"/>
    </row>
    <row r="20" spans="1:10" x14ac:dyDescent="0.35">
      <c r="A20" s="138"/>
      <c r="B20" s="1"/>
      <c r="C20" s="107"/>
      <c r="D20" s="108"/>
      <c r="E20" s="179" t="str">
        <f>IF(OR(ISBLANK($C20),ISBLANK($D20),ISBLANK($E$10),ISBLANK($E$11)),"",IFERROR($D20*VLOOKUP((IF(OR($C20="Residential urban land",$C20="Commercial/industrial urban land",$C20="Open urban land",$C20="Greenspace",$C20="Community food growing",$C20="Woodland",$C20="Shrub", $C20="Water"), "|||"&amp;$C20, (VLOOKUP('Stage 2'!$E$9,Lookups!$C$179:$D$179,2,FALSE)&amp;"|"&amp;$C20&amp;"|"&amp;VLOOKUP('Stage 2'!$E$12,Lookups!$C$193:$D$194,2,FALSE)&amp;"|"&amp;VLOOKUP('Stage 2'!$E$11,Lookups!$C$153:$E$175,3,FALSE)&amp;"|"&amp;VLOOKUP($E$10,Lookups!$C$184:$D$189,2,FALSE)))),Lookups!$H$23:$J$149,2,FALSE),
IFERROR(IFERROR($D20*VLOOKUP($C20&amp;"|"&amp;VLOOKUP('Stage 2'!$E$12,Lookups!$C$193:$D$194,2,FALSE)&amp;"|"&amp;VLOOKUP('Stage 2'!$E$11,Lookups!$C$153:$E$175,3,FALSE)&amp;"|"&amp;VLOOKUP($E$10,Lookups!$C$184:$D$189,2,FALSE),Lookups!$H$23:$J$149,2,FALSE),IFERROR($D20*VLOOKUP($C20&amp;"|"&amp;"FALSE"&amp;"|"&amp;VLOOKUP('Stage 2'!$E$11,Lookups!$C$153:$E$175,3,FALSE)&amp;"|"&amp;VLOOKUP($E$10,Lookups!$C$184:$D$189,2,FALSE),Lookups!$H$23:$J$149,2,FALSE),$D20*VLOOKUP($C20&amp;"|"&amp;VLOOKUP('Stage 2'!$E$12,Lookups!$C$193:$D$194,2,FALSE)&amp;"|"&amp;VLOOKUP('Stage 2'!$E$11,Lookups!$C$153:$E$175,3,FALSE)&amp;"|"&amp;"DrainedArGr",Lookups!$H$23:$J$149,2,FALSE))),IFERROR($D20*VLOOKUP($C20&amp;"|"&amp;VLOOKUP('Stage 2'!$E$11,Lookups!$C$153:$E$175,3,FALSE),Lookups!$K$23:$M$141,2,FALSE),$D20*VLOOKUP($C20,Lookups!$D$23:$O$141,11,FALSE)))))</f>
        <v/>
      </c>
      <c r="F20" s="178" t="str">
        <f>IF(OR(ISBLANK($C20),ISBLANK($D20),ISBLANK($E$10),ISBLANK($E$11)),"",IFERROR($D20*VLOOKUP((IF(OR($C20="Residential urban land",$C20="Commercial/industrial urban land",$C20="Open urban land",$C20="Greenspace",$C20="Community food growing",$C20="Woodland",$C20="Shrub", $C20="Water"), "|||"&amp;$C20, (VLOOKUP('Stage 2'!$E$9,Lookups!$C$179:$D$179,2,FALSE)&amp;"|"&amp;$C20&amp;"|"&amp;VLOOKUP('Stage 2'!$E$12,Lookups!$C$193:$D$194,2,FALSE)&amp;"|"&amp;VLOOKUP('Stage 2'!$E$11,Lookups!$C$153:$E$175,3,FALSE)&amp;"|"&amp;VLOOKUP($E$10,Lookups!$C$184:$D$189,2,FALSE)))),Lookups!$H$23:$J$149,3,FALSE),
IFERROR(IFERROR($D20*VLOOKUP($C20&amp;"|"&amp;VLOOKUP('Stage 2'!$E$12,Lookups!$C$193:$D$194,2,FALSE)&amp;"|"&amp;VLOOKUP('Stage 2'!$E$11,Lookups!$C$153:$E$175,3,FALSE)&amp;"|"&amp;VLOOKUP($E$10,Lookups!$C$184:$D$189,2,FALSE),Lookups!$H$23:$J$149,3,FALSE),IFERROR($D20*VLOOKUP($C20&amp;"|"&amp;"FALSE"&amp;"|"&amp;VLOOKUP('Stage 2'!$E$11,Lookups!$C$153:$E$175,3,FALSE)&amp;"|"&amp;VLOOKUP($E$10,Lookups!$C$184:$D$189,2,FALSE),Lookups!$H$23:$J$149,3,FALSE),$D20*VLOOKUP($C20&amp;"|"&amp;VLOOKUP('Stage 2'!$E$12,Lookups!$C$193:$D$194,2,FALSE)&amp;"|"&amp;VLOOKUP('Stage 2'!$E$11,Lookups!$C$153:$E$175,3,FALSE)&amp;"|"&amp;"DrainedArGr",Lookups!$H$23:$J$149,3,FALSE))),IFERROR($D20*VLOOKUP($C20&amp;"|"&amp;VLOOKUP('Stage 2'!$E$11,Lookups!$C$153:$E$175,3,FALSE),Lookups!$K$23:$M$141,3,FALSE),$D20*VLOOKUP($C20,Lookups!$D$23:$O$141,12,FALSE)))))</f>
        <v/>
      </c>
      <c r="G20" s="161"/>
      <c r="H20" s="162"/>
      <c r="I20" s="162"/>
      <c r="J20" s="162"/>
    </row>
    <row r="21" spans="1:10" x14ac:dyDescent="0.35">
      <c r="A21" s="138"/>
      <c r="B21" s="1"/>
      <c r="C21" s="107"/>
      <c r="D21" s="108"/>
      <c r="E21" s="179" t="str">
        <f>IF(OR(ISBLANK($C21),ISBLANK($D21),ISBLANK($E$10),ISBLANK($E$11)),"",IFERROR($D21*VLOOKUP((IF(OR($C21="Residential urban land",$C21="Commercial/industrial urban land",$C21="Open urban land",$C21="Greenspace",$C21="Community food growing",$C21="Woodland",$C21="Shrub", $C21="Water"), "|||"&amp;$C21, (VLOOKUP('Stage 2'!$E$9,Lookups!$C$179:$D$179,2,FALSE)&amp;"|"&amp;$C21&amp;"|"&amp;VLOOKUP('Stage 2'!$E$12,Lookups!$C$193:$D$194,2,FALSE)&amp;"|"&amp;VLOOKUP('Stage 2'!$E$11,Lookups!$C$153:$E$175,3,FALSE)&amp;"|"&amp;VLOOKUP($E$10,Lookups!$C$184:$D$189,2,FALSE)))),Lookups!$H$23:$J$149,2,FALSE),
IFERROR(IFERROR($D21*VLOOKUP($C21&amp;"|"&amp;VLOOKUP('Stage 2'!$E$12,Lookups!$C$193:$D$194,2,FALSE)&amp;"|"&amp;VLOOKUP('Stage 2'!$E$11,Lookups!$C$153:$E$175,3,FALSE)&amp;"|"&amp;VLOOKUP($E$10,Lookups!$C$184:$D$189,2,FALSE),Lookups!$H$23:$J$149,2,FALSE),IFERROR($D21*VLOOKUP($C21&amp;"|"&amp;"FALSE"&amp;"|"&amp;VLOOKUP('Stage 2'!$E$11,Lookups!$C$153:$E$175,3,FALSE)&amp;"|"&amp;VLOOKUP($E$10,Lookups!$C$184:$D$189,2,FALSE),Lookups!$H$23:$J$149,2,FALSE),$D21*VLOOKUP($C21&amp;"|"&amp;VLOOKUP('Stage 2'!$E$12,Lookups!$C$193:$D$194,2,FALSE)&amp;"|"&amp;VLOOKUP('Stage 2'!$E$11,Lookups!$C$153:$E$175,3,FALSE)&amp;"|"&amp;"DrainedArGr",Lookups!$H$23:$J$149,2,FALSE))),IFERROR($D21*VLOOKUP($C21&amp;"|"&amp;VLOOKUP('Stage 2'!$E$11,Lookups!$C$153:$E$175,3,FALSE),Lookups!$K$23:$M$141,2,FALSE),$D21*VLOOKUP($C21,Lookups!$D$23:$O$141,11,FALSE)))))</f>
        <v/>
      </c>
      <c r="F21" s="178" t="str">
        <f>IF(OR(ISBLANK($C21),ISBLANK($D21),ISBLANK($E$10),ISBLANK($E$11)),"",IFERROR($D21*VLOOKUP((IF(OR($C21="Residential urban land",$C21="Commercial/industrial urban land",$C21="Open urban land",$C21="Greenspace",$C21="Community food growing",$C21="Woodland",$C21="Shrub", $C21="Water"), "|||"&amp;$C21, (VLOOKUP('Stage 2'!$E$9,Lookups!$C$179:$D$179,2,FALSE)&amp;"|"&amp;$C21&amp;"|"&amp;VLOOKUP('Stage 2'!$E$12,Lookups!$C$193:$D$194,2,FALSE)&amp;"|"&amp;VLOOKUP('Stage 2'!$E$11,Lookups!$C$153:$E$175,3,FALSE)&amp;"|"&amp;VLOOKUP($E$10,Lookups!$C$184:$D$189,2,FALSE)))),Lookups!$H$23:$J$149,3,FALSE),
IFERROR(IFERROR($D21*VLOOKUP($C21&amp;"|"&amp;VLOOKUP('Stage 2'!$E$12,Lookups!$C$193:$D$194,2,FALSE)&amp;"|"&amp;VLOOKUP('Stage 2'!$E$11,Lookups!$C$153:$E$175,3,FALSE)&amp;"|"&amp;VLOOKUP($E$10,Lookups!$C$184:$D$189,2,FALSE),Lookups!$H$23:$J$149,3,FALSE),IFERROR($D21*VLOOKUP($C21&amp;"|"&amp;"FALSE"&amp;"|"&amp;VLOOKUP('Stage 2'!$E$11,Lookups!$C$153:$E$175,3,FALSE)&amp;"|"&amp;VLOOKUP($E$10,Lookups!$C$184:$D$189,2,FALSE),Lookups!$H$23:$J$149,3,FALSE),$D21*VLOOKUP($C21&amp;"|"&amp;VLOOKUP('Stage 2'!$E$12,Lookups!$C$193:$D$194,2,FALSE)&amp;"|"&amp;VLOOKUP('Stage 2'!$E$11,Lookups!$C$153:$E$175,3,FALSE)&amp;"|"&amp;"DrainedArGr",Lookups!$H$23:$J$149,3,FALSE))),IFERROR($D21*VLOOKUP($C21&amp;"|"&amp;VLOOKUP('Stage 2'!$E$11,Lookups!$C$153:$E$175,3,FALSE),Lookups!$K$23:$M$141,3,FALSE),$D21*VLOOKUP($C21,Lookups!$D$23:$O$141,12,FALSE)))))</f>
        <v/>
      </c>
      <c r="G21" s="155"/>
    </row>
    <row r="22" spans="1:10" x14ac:dyDescent="0.35">
      <c r="A22" s="138"/>
      <c r="B22" s="1"/>
      <c r="C22" s="107"/>
      <c r="D22" s="108"/>
      <c r="E22" s="179" t="str">
        <f>IF(OR(ISBLANK($C22),ISBLANK($D22),ISBLANK($E$10),ISBLANK($E$11)),"",IFERROR($D22*VLOOKUP((IF(OR($C22="Residential urban land",$C22="Commercial/industrial urban land",$C22="Open urban land",$C22="Greenspace",$C22="Community food growing",$C22="Woodland",$C22="Shrub", $C22="Water"), "|||"&amp;$C22, (VLOOKUP('Stage 2'!$E$9,Lookups!$C$179:$D$179,2,FALSE)&amp;"|"&amp;$C22&amp;"|"&amp;VLOOKUP('Stage 2'!$E$12,Lookups!$C$193:$D$194,2,FALSE)&amp;"|"&amp;VLOOKUP('Stage 2'!$E$11,Lookups!$C$153:$E$175,3,FALSE)&amp;"|"&amp;VLOOKUP($E$10,Lookups!$C$184:$D$189,2,FALSE)))),Lookups!$H$23:$J$149,2,FALSE),
IFERROR(IFERROR($D22*VLOOKUP($C22&amp;"|"&amp;VLOOKUP('Stage 2'!$E$12,Lookups!$C$193:$D$194,2,FALSE)&amp;"|"&amp;VLOOKUP('Stage 2'!$E$11,Lookups!$C$153:$E$175,3,FALSE)&amp;"|"&amp;VLOOKUP($E$10,Lookups!$C$184:$D$189,2,FALSE),Lookups!$H$23:$J$149,2,FALSE),IFERROR($D22*VLOOKUP($C22&amp;"|"&amp;"FALSE"&amp;"|"&amp;VLOOKUP('Stage 2'!$E$11,Lookups!$C$153:$E$175,3,FALSE)&amp;"|"&amp;VLOOKUP($E$10,Lookups!$C$184:$D$189,2,FALSE),Lookups!$H$23:$J$149,2,FALSE),$D22*VLOOKUP($C22&amp;"|"&amp;VLOOKUP('Stage 2'!$E$12,Lookups!$C$193:$D$194,2,FALSE)&amp;"|"&amp;VLOOKUP('Stage 2'!$E$11,Lookups!$C$153:$E$175,3,FALSE)&amp;"|"&amp;"DrainedArGr",Lookups!$H$23:$J$149,2,FALSE))),IFERROR($D22*VLOOKUP($C22&amp;"|"&amp;VLOOKUP('Stage 2'!$E$11,Lookups!$C$153:$E$175,3,FALSE),Lookups!$K$23:$M$141,2,FALSE),$D22*VLOOKUP($C22,Lookups!$D$23:$O$141,11,FALSE)))))</f>
        <v/>
      </c>
      <c r="F22" s="178" t="str">
        <f>IF(OR(ISBLANK($C22),ISBLANK($D22),ISBLANK($E$10),ISBLANK($E$11)),"",IFERROR($D22*VLOOKUP((IF(OR($C22="Residential urban land",$C22="Commercial/industrial urban land",$C22="Open urban land",$C22="Greenspace",$C22="Community food growing",$C22="Woodland",$C22="Shrub", $C22="Water"), "|||"&amp;$C22, (VLOOKUP('Stage 2'!$E$9,Lookups!$C$179:$D$179,2,FALSE)&amp;"|"&amp;$C22&amp;"|"&amp;VLOOKUP('Stage 2'!$E$12,Lookups!$C$193:$D$194,2,FALSE)&amp;"|"&amp;VLOOKUP('Stage 2'!$E$11,Lookups!$C$153:$E$175,3,FALSE)&amp;"|"&amp;VLOOKUP($E$10,Lookups!$C$184:$D$189,2,FALSE)))),Lookups!$H$23:$J$149,3,FALSE),
IFERROR(IFERROR($D22*VLOOKUP($C22&amp;"|"&amp;VLOOKUP('Stage 2'!$E$12,Lookups!$C$193:$D$194,2,FALSE)&amp;"|"&amp;VLOOKUP('Stage 2'!$E$11,Lookups!$C$153:$E$175,3,FALSE)&amp;"|"&amp;VLOOKUP($E$10,Lookups!$C$184:$D$189,2,FALSE),Lookups!$H$23:$J$149,3,FALSE),IFERROR($D22*VLOOKUP($C22&amp;"|"&amp;"FALSE"&amp;"|"&amp;VLOOKUP('Stage 2'!$E$11,Lookups!$C$153:$E$175,3,FALSE)&amp;"|"&amp;VLOOKUP($E$10,Lookups!$C$184:$D$189,2,FALSE),Lookups!$H$23:$J$149,3,FALSE),$D22*VLOOKUP($C22&amp;"|"&amp;VLOOKUP('Stage 2'!$E$12,Lookups!$C$193:$D$194,2,FALSE)&amp;"|"&amp;VLOOKUP('Stage 2'!$E$11,Lookups!$C$153:$E$175,3,FALSE)&amp;"|"&amp;"DrainedArGr",Lookups!$H$23:$J$149,3,FALSE))),IFERROR($D22*VLOOKUP($C22&amp;"|"&amp;VLOOKUP('Stage 2'!$E$11,Lookups!$C$153:$E$175,3,FALSE),Lookups!$K$23:$M$141,3,FALSE),$D22*VLOOKUP($C22,Lookups!$D$23:$O$141,12,FALSE)))))</f>
        <v/>
      </c>
      <c r="G22" s="155"/>
    </row>
    <row r="23" spans="1:10" x14ac:dyDescent="0.35">
      <c r="A23" s="138"/>
      <c r="B23" s="1"/>
      <c r="C23" s="107"/>
      <c r="D23" s="108"/>
      <c r="E23" s="179" t="str">
        <f>IF(OR(ISBLANK($C23),ISBLANK($D23),ISBLANK($E$10),ISBLANK($E$11)),"",IFERROR($D23*VLOOKUP((IF(OR($C23="Residential urban land",$C23="Commercial/industrial urban land",$C23="Open urban land",$C23="Greenspace",$C23="Community food growing",$C23="Woodland",$C23="Shrub", $C23="Water"), "|||"&amp;$C23, (VLOOKUP('Stage 2'!$E$9,Lookups!$C$179:$D$179,2,FALSE)&amp;"|"&amp;$C23&amp;"|"&amp;VLOOKUP('Stage 2'!$E$12,Lookups!$C$193:$D$194,2,FALSE)&amp;"|"&amp;VLOOKUP('Stage 2'!$E$11,Lookups!$C$153:$E$175,3,FALSE)&amp;"|"&amp;VLOOKUP($E$10,Lookups!$C$184:$D$189,2,FALSE)))),Lookups!$H$23:$J$149,2,FALSE),
IFERROR(IFERROR($D23*VLOOKUP($C23&amp;"|"&amp;VLOOKUP('Stage 2'!$E$12,Lookups!$C$193:$D$194,2,FALSE)&amp;"|"&amp;VLOOKUP('Stage 2'!$E$11,Lookups!$C$153:$E$175,3,FALSE)&amp;"|"&amp;VLOOKUP($E$10,Lookups!$C$184:$D$189,2,FALSE),Lookups!$H$23:$J$149,2,FALSE),IFERROR($D23*VLOOKUP($C23&amp;"|"&amp;"FALSE"&amp;"|"&amp;VLOOKUP('Stage 2'!$E$11,Lookups!$C$153:$E$175,3,FALSE)&amp;"|"&amp;VLOOKUP($E$10,Lookups!$C$184:$D$189,2,FALSE),Lookups!$H$23:$J$149,2,FALSE),$D23*VLOOKUP($C23&amp;"|"&amp;VLOOKUP('Stage 2'!$E$12,Lookups!$C$193:$D$194,2,FALSE)&amp;"|"&amp;VLOOKUP('Stage 2'!$E$11,Lookups!$C$153:$E$175,3,FALSE)&amp;"|"&amp;"DrainedArGr",Lookups!$H$23:$J$149,2,FALSE))),IFERROR($D23*VLOOKUP($C23&amp;"|"&amp;VLOOKUP('Stage 2'!$E$11,Lookups!$C$153:$E$175,3,FALSE),Lookups!$K$23:$M$141,2,FALSE),$D23*VLOOKUP($C23,Lookups!$D$23:$O$141,11,FALSE)))))</f>
        <v/>
      </c>
      <c r="F23" s="178" t="str">
        <f>IF(OR(ISBLANK($C23),ISBLANK($D23),ISBLANK($E$10),ISBLANK($E$11)),"",IFERROR($D23*VLOOKUP((IF(OR($C23="Residential urban land",$C23="Commercial/industrial urban land",$C23="Open urban land",$C23="Greenspace",$C23="Community food growing",$C23="Woodland",$C23="Shrub", $C23="Water"), "|||"&amp;$C23, (VLOOKUP('Stage 2'!$E$9,Lookups!$C$179:$D$179,2,FALSE)&amp;"|"&amp;$C23&amp;"|"&amp;VLOOKUP('Stage 2'!$E$12,Lookups!$C$193:$D$194,2,FALSE)&amp;"|"&amp;VLOOKUP('Stage 2'!$E$11,Lookups!$C$153:$E$175,3,FALSE)&amp;"|"&amp;VLOOKUP($E$10,Lookups!$C$184:$D$189,2,FALSE)))),Lookups!$H$23:$J$149,3,FALSE),
IFERROR(IFERROR($D23*VLOOKUP($C23&amp;"|"&amp;VLOOKUP('Stage 2'!$E$12,Lookups!$C$193:$D$194,2,FALSE)&amp;"|"&amp;VLOOKUP('Stage 2'!$E$11,Lookups!$C$153:$E$175,3,FALSE)&amp;"|"&amp;VLOOKUP($E$10,Lookups!$C$184:$D$189,2,FALSE),Lookups!$H$23:$J$149,3,FALSE),IFERROR($D23*VLOOKUP($C23&amp;"|"&amp;"FALSE"&amp;"|"&amp;VLOOKUP('Stage 2'!$E$11,Lookups!$C$153:$E$175,3,FALSE)&amp;"|"&amp;VLOOKUP($E$10,Lookups!$C$184:$D$189,2,FALSE),Lookups!$H$23:$J$149,3,FALSE),$D23*VLOOKUP($C23&amp;"|"&amp;VLOOKUP('Stage 2'!$E$12,Lookups!$C$193:$D$194,2,FALSE)&amp;"|"&amp;VLOOKUP('Stage 2'!$E$11,Lookups!$C$153:$E$175,3,FALSE)&amp;"|"&amp;"DrainedArGr",Lookups!$H$23:$J$149,3,FALSE))),IFERROR($D23*VLOOKUP($C23&amp;"|"&amp;VLOOKUP('Stage 2'!$E$11,Lookups!$C$153:$E$175,3,FALSE),Lookups!$K$23:$M$141,3,FALSE),$D23*VLOOKUP($C23,Lookups!$D$23:$O$141,12,FALSE)))))</f>
        <v/>
      </c>
      <c r="G23" s="155"/>
    </row>
    <row r="24" spans="1:10" x14ac:dyDescent="0.35">
      <c r="A24" s="138"/>
      <c r="B24" s="1"/>
      <c r="C24" s="107"/>
      <c r="D24" s="108"/>
      <c r="E24" s="179" t="str">
        <f>IF(OR(ISBLANK($C24),ISBLANK($D24),ISBLANK($E$10),ISBLANK($E$11)),"",IFERROR($D24*VLOOKUP((IF(OR($C24="Residential urban land",$C24="Commercial/industrial urban land",$C24="Open urban land",$C24="Greenspace",$C24="Community food growing",$C24="Woodland",$C24="Shrub", $C24="Water"), "|||"&amp;$C24, (VLOOKUP('Stage 2'!$E$9,Lookups!$C$179:$D$179,2,FALSE)&amp;"|"&amp;$C24&amp;"|"&amp;VLOOKUP('Stage 2'!$E$12,Lookups!$C$193:$D$194,2,FALSE)&amp;"|"&amp;VLOOKUP('Stage 2'!$E$11,Lookups!$C$153:$E$175,3,FALSE)&amp;"|"&amp;VLOOKUP($E$10,Lookups!$C$184:$D$189,2,FALSE)))),Lookups!$H$23:$J$149,2,FALSE),
IFERROR(IFERROR($D24*VLOOKUP($C24&amp;"|"&amp;VLOOKUP('Stage 2'!$E$12,Lookups!$C$193:$D$194,2,FALSE)&amp;"|"&amp;VLOOKUP('Stage 2'!$E$11,Lookups!$C$153:$E$175,3,FALSE)&amp;"|"&amp;VLOOKUP($E$10,Lookups!$C$184:$D$189,2,FALSE),Lookups!$H$23:$J$149,2,FALSE),IFERROR($D24*VLOOKUP($C24&amp;"|"&amp;"FALSE"&amp;"|"&amp;VLOOKUP('Stage 2'!$E$11,Lookups!$C$153:$E$175,3,FALSE)&amp;"|"&amp;VLOOKUP($E$10,Lookups!$C$184:$D$189,2,FALSE),Lookups!$H$23:$J$149,2,FALSE),$D24*VLOOKUP($C24&amp;"|"&amp;VLOOKUP('Stage 2'!$E$12,Lookups!$C$193:$D$194,2,FALSE)&amp;"|"&amp;VLOOKUP('Stage 2'!$E$11,Lookups!$C$153:$E$175,3,FALSE)&amp;"|"&amp;"DrainedArGr",Lookups!$H$23:$J$149,2,FALSE))),IFERROR($D24*VLOOKUP($C24&amp;"|"&amp;VLOOKUP('Stage 2'!$E$11,Lookups!$C$153:$E$175,3,FALSE),Lookups!$K$23:$M$141,2,FALSE),$D24*VLOOKUP($C24,Lookups!$D$23:$O$141,11,FALSE)))))</f>
        <v/>
      </c>
      <c r="F24" s="178" t="str">
        <f>IF(OR(ISBLANK($C24),ISBLANK($D24),ISBLANK($E$10),ISBLANK($E$11)),"",IFERROR($D24*VLOOKUP((IF(OR($C24="Residential urban land",$C24="Commercial/industrial urban land",$C24="Open urban land",$C24="Greenspace",$C24="Community food growing",$C24="Woodland",$C24="Shrub", $C24="Water"), "|||"&amp;$C24, (VLOOKUP('Stage 2'!$E$9,Lookups!$C$179:$D$179,2,FALSE)&amp;"|"&amp;$C24&amp;"|"&amp;VLOOKUP('Stage 2'!$E$12,Lookups!$C$193:$D$194,2,FALSE)&amp;"|"&amp;VLOOKUP('Stage 2'!$E$11,Lookups!$C$153:$E$175,3,FALSE)&amp;"|"&amp;VLOOKUP($E$10,Lookups!$C$184:$D$189,2,FALSE)))),Lookups!$H$23:$J$149,3,FALSE),
IFERROR(IFERROR($D24*VLOOKUP($C24&amp;"|"&amp;VLOOKUP('Stage 2'!$E$12,Lookups!$C$193:$D$194,2,FALSE)&amp;"|"&amp;VLOOKUP('Stage 2'!$E$11,Lookups!$C$153:$E$175,3,FALSE)&amp;"|"&amp;VLOOKUP($E$10,Lookups!$C$184:$D$189,2,FALSE),Lookups!$H$23:$J$149,3,FALSE),IFERROR($D24*VLOOKUP($C24&amp;"|"&amp;"FALSE"&amp;"|"&amp;VLOOKUP('Stage 2'!$E$11,Lookups!$C$153:$E$175,3,FALSE)&amp;"|"&amp;VLOOKUP($E$10,Lookups!$C$184:$D$189,2,FALSE),Lookups!$H$23:$J$149,3,FALSE),$D24*VLOOKUP($C24&amp;"|"&amp;VLOOKUP('Stage 2'!$E$12,Lookups!$C$193:$D$194,2,FALSE)&amp;"|"&amp;VLOOKUP('Stage 2'!$E$11,Lookups!$C$153:$E$175,3,FALSE)&amp;"|"&amp;"DrainedArGr",Lookups!$H$23:$J$149,3,FALSE))),IFERROR($D24*VLOOKUP($C24&amp;"|"&amp;VLOOKUP('Stage 2'!$E$11,Lookups!$C$153:$E$175,3,FALSE),Lookups!$K$23:$M$141,3,FALSE),$D24*VLOOKUP($C24,Lookups!$D$23:$O$141,12,FALSE)))))</f>
        <v/>
      </c>
      <c r="G24" s="155"/>
    </row>
    <row r="25" spans="1:10" x14ac:dyDescent="0.35">
      <c r="A25" s="138"/>
      <c r="B25" s="1"/>
      <c r="C25" s="107"/>
      <c r="D25" s="108"/>
      <c r="E25" s="179" t="str">
        <f>IF(OR(ISBLANK($C25),ISBLANK($D25),ISBLANK($E$10),ISBLANK($E$11)),"",IFERROR($D25*VLOOKUP((IF(OR($C25="Residential urban land",$C25="Commercial/industrial urban land",$C25="Open urban land",$C25="Greenspace",$C25="Community food growing",$C25="Woodland",$C25="Shrub", $C25="Water"), "|||"&amp;$C25, (VLOOKUP('Stage 2'!$E$9,Lookups!$C$179:$D$179,2,FALSE)&amp;"|"&amp;$C25&amp;"|"&amp;VLOOKUP('Stage 2'!$E$12,Lookups!$C$193:$D$194,2,FALSE)&amp;"|"&amp;VLOOKUP('Stage 2'!$E$11,Lookups!$C$153:$E$175,3,FALSE)&amp;"|"&amp;VLOOKUP($E$10,Lookups!$C$184:$D$189,2,FALSE)))),Lookups!$H$23:$J$149,2,FALSE),
IFERROR(IFERROR($D25*VLOOKUP($C25&amp;"|"&amp;VLOOKUP('Stage 2'!$E$12,Lookups!$C$193:$D$194,2,FALSE)&amp;"|"&amp;VLOOKUP('Stage 2'!$E$11,Lookups!$C$153:$E$175,3,FALSE)&amp;"|"&amp;VLOOKUP($E$10,Lookups!$C$184:$D$189,2,FALSE),Lookups!$H$23:$J$149,2,FALSE),IFERROR($D25*VLOOKUP($C25&amp;"|"&amp;"FALSE"&amp;"|"&amp;VLOOKUP('Stage 2'!$E$11,Lookups!$C$153:$E$175,3,FALSE)&amp;"|"&amp;VLOOKUP($E$10,Lookups!$C$184:$D$189,2,FALSE),Lookups!$H$23:$J$149,2,FALSE),$D25*VLOOKUP($C25&amp;"|"&amp;VLOOKUP('Stage 2'!$E$12,Lookups!$C$193:$D$194,2,FALSE)&amp;"|"&amp;VLOOKUP('Stage 2'!$E$11,Lookups!$C$153:$E$175,3,FALSE)&amp;"|"&amp;"DrainedArGr",Lookups!$H$23:$J$149,2,FALSE))),IFERROR($D25*VLOOKUP($C25&amp;"|"&amp;VLOOKUP('Stage 2'!$E$11,Lookups!$C$153:$E$175,3,FALSE),Lookups!$K$23:$M$141,2,FALSE),$D25*VLOOKUP($C25,Lookups!$D$23:$O$141,11,FALSE)))))</f>
        <v/>
      </c>
      <c r="F25" s="178" t="str">
        <f>IF(OR(ISBLANK($C25),ISBLANK($D25),ISBLANK($E$10),ISBLANK($E$11)),"",IFERROR($D25*VLOOKUP((IF(OR($C25="Residential urban land",$C25="Commercial/industrial urban land",$C25="Open urban land",$C25="Greenspace",$C25="Community food growing",$C25="Woodland",$C25="Shrub", $C25="Water"), "|||"&amp;$C25, (VLOOKUP('Stage 2'!$E$9,Lookups!$C$179:$D$179,2,FALSE)&amp;"|"&amp;$C25&amp;"|"&amp;VLOOKUP('Stage 2'!$E$12,Lookups!$C$193:$D$194,2,FALSE)&amp;"|"&amp;VLOOKUP('Stage 2'!$E$11,Lookups!$C$153:$E$175,3,FALSE)&amp;"|"&amp;VLOOKUP($E$10,Lookups!$C$184:$D$189,2,FALSE)))),Lookups!$H$23:$J$149,3,FALSE),
IFERROR(IFERROR($D25*VLOOKUP($C25&amp;"|"&amp;VLOOKUP('Stage 2'!$E$12,Lookups!$C$193:$D$194,2,FALSE)&amp;"|"&amp;VLOOKUP('Stage 2'!$E$11,Lookups!$C$153:$E$175,3,FALSE)&amp;"|"&amp;VLOOKUP($E$10,Lookups!$C$184:$D$189,2,FALSE),Lookups!$H$23:$J$149,3,FALSE),IFERROR($D25*VLOOKUP($C25&amp;"|"&amp;"FALSE"&amp;"|"&amp;VLOOKUP('Stage 2'!$E$11,Lookups!$C$153:$E$175,3,FALSE)&amp;"|"&amp;VLOOKUP($E$10,Lookups!$C$184:$D$189,2,FALSE),Lookups!$H$23:$J$149,3,FALSE),$D25*VLOOKUP($C25&amp;"|"&amp;VLOOKUP('Stage 2'!$E$12,Lookups!$C$193:$D$194,2,FALSE)&amp;"|"&amp;VLOOKUP('Stage 2'!$E$11,Lookups!$C$153:$E$175,3,FALSE)&amp;"|"&amp;"DrainedArGr",Lookups!$H$23:$J$149,3,FALSE))),IFERROR($D25*VLOOKUP($C25&amp;"|"&amp;VLOOKUP('Stage 2'!$E$11,Lookups!$C$153:$E$175,3,FALSE),Lookups!$K$23:$M$141,3,FALSE),$D25*VLOOKUP($C25,Lookups!$D$23:$O$141,12,FALSE)))))</f>
        <v/>
      </c>
      <c r="G25" s="155"/>
    </row>
    <row r="26" spans="1:10" x14ac:dyDescent="0.35">
      <c r="A26" s="138"/>
      <c r="B26" s="1"/>
      <c r="C26" s="107"/>
      <c r="D26" s="108"/>
      <c r="E26" s="179" t="str">
        <f>IF(OR(ISBLANK($C26),ISBLANK($D26),ISBLANK($E$10),ISBLANK($E$11)),"",IFERROR($D26*VLOOKUP((IF(OR($C26="Residential urban land",$C26="Commercial/industrial urban land",$C26="Open urban land",$C26="Greenspace",$C26="Community food growing",$C26="Woodland",$C26="Shrub", $C26="Water"), "|||"&amp;$C26, (VLOOKUP('Stage 2'!$E$9,Lookups!$C$179:$D$179,2,FALSE)&amp;"|"&amp;$C26&amp;"|"&amp;VLOOKUP('Stage 2'!$E$12,Lookups!$C$193:$D$194,2,FALSE)&amp;"|"&amp;VLOOKUP('Stage 2'!$E$11,Lookups!$C$153:$E$175,3,FALSE)&amp;"|"&amp;VLOOKUP($E$10,Lookups!$C$184:$D$189,2,FALSE)))),Lookups!$H$23:$J$149,2,FALSE),
IFERROR(IFERROR($D26*VLOOKUP($C26&amp;"|"&amp;VLOOKUP('Stage 2'!$E$12,Lookups!$C$193:$D$194,2,FALSE)&amp;"|"&amp;VLOOKUP('Stage 2'!$E$11,Lookups!$C$153:$E$175,3,FALSE)&amp;"|"&amp;VLOOKUP($E$10,Lookups!$C$184:$D$189,2,FALSE),Lookups!$H$23:$J$149,2,FALSE),IFERROR($D26*VLOOKUP($C26&amp;"|"&amp;"FALSE"&amp;"|"&amp;VLOOKUP('Stage 2'!$E$11,Lookups!$C$153:$E$175,3,FALSE)&amp;"|"&amp;VLOOKUP($E$10,Lookups!$C$184:$D$189,2,FALSE),Lookups!$H$23:$J$149,2,FALSE),$D26*VLOOKUP($C26&amp;"|"&amp;VLOOKUP('Stage 2'!$E$12,Lookups!$C$193:$D$194,2,FALSE)&amp;"|"&amp;VLOOKUP('Stage 2'!$E$11,Lookups!$C$153:$E$175,3,FALSE)&amp;"|"&amp;"DrainedArGr",Lookups!$H$23:$J$149,2,FALSE))),IFERROR($D26*VLOOKUP($C26&amp;"|"&amp;VLOOKUP('Stage 2'!$E$11,Lookups!$C$153:$E$175,3,FALSE),Lookups!$K$23:$M$141,2,FALSE),$D26*VLOOKUP($C26,Lookups!$D$23:$O$141,11,FALSE)))))</f>
        <v/>
      </c>
      <c r="F26" s="178" t="str">
        <f>IF(OR(ISBLANK($C26),ISBLANK($D26),ISBLANK($E$10),ISBLANK($E$11)),"",IFERROR($D26*VLOOKUP((IF(OR($C26="Residential urban land",$C26="Commercial/industrial urban land",$C26="Open urban land",$C26="Greenspace",$C26="Community food growing",$C26="Woodland",$C26="Shrub", $C26="Water"), "|||"&amp;$C26, (VLOOKUP('Stage 2'!$E$9,Lookups!$C$179:$D$179,2,FALSE)&amp;"|"&amp;$C26&amp;"|"&amp;VLOOKUP('Stage 2'!$E$12,Lookups!$C$193:$D$194,2,FALSE)&amp;"|"&amp;VLOOKUP('Stage 2'!$E$11,Lookups!$C$153:$E$175,3,FALSE)&amp;"|"&amp;VLOOKUP($E$10,Lookups!$C$184:$D$189,2,FALSE)))),Lookups!$H$23:$J$149,3,FALSE),
IFERROR(IFERROR($D26*VLOOKUP($C26&amp;"|"&amp;VLOOKUP('Stage 2'!$E$12,Lookups!$C$193:$D$194,2,FALSE)&amp;"|"&amp;VLOOKUP('Stage 2'!$E$11,Lookups!$C$153:$E$175,3,FALSE)&amp;"|"&amp;VLOOKUP($E$10,Lookups!$C$184:$D$189,2,FALSE),Lookups!$H$23:$J$149,3,FALSE),IFERROR($D26*VLOOKUP($C26&amp;"|"&amp;"FALSE"&amp;"|"&amp;VLOOKUP('Stage 2'!$E$11,Lookups!$C$153:$E$175,3,FALSE)&amp;"|"&amp;VLOOKUP($E$10,Lookups!$C$184:$D$189,2,FALSE),Lookups!$H$23:$J$149,3,FALSE),$D26*VLOOKUP($C26&amp;"|"&amp;VLOOKUP('Stage 2'!$E$12,Lookups!$C$193:$D$194,2,FALSE)&amp;"|"&amp;VLOOKUP('Stage 2'!$E$11,Lookups!$C$153:$E$175,3,FALSE)&amp;"|"&amp;"DrainedArGr",Lookups!$H$23:$J$149,3,FALSE))),IFERROR($D26*VLOOKUP($C26&amp;"|"&amp;VLOOKUP('Stage 2'!$E$11,Lookups!$C$153:$E$175,3,FALSE),Lookups!$K$23:$M$141,3,FALSE),$D26*VLOOKUP($C26,Lookups!$D$23:$O$141,12,FALSE)))))</f>
        <v/>
      </c>
      <c r="G26" s="155"/>
    </row>
    <row r="27" spans="1:10" x14ac:dyDescent="0.35">
      <c r="A27" s="138"/>
      <c r="B27" s="1"/>
      <c r="C27" s="107"/>
      <c r="D27" s="108"/>
      <c r="E27" s="179" t="str">
        <f>IF(OR(ISBLANK($C27),ISBLANK($D27),ISBLANK($E$10),ISBLANK($E$11)),"",IFERROR($D27*VLOOKUP((IF(OR($C27="Residential urban land",$C27="Commercial/industrial urban land",$C27="Open urban land",$C27="Greenspace",$C27="Community food growing",$C27="Woodland",$C27="Shrub", $C27="Water"), "|||"&amp;$C27, (VLOOKUP('Stage 2'!$E$9,Lookups!$C$179:$D$179,2,FALSE)&amp;"|"&amp;$C27&amp;"|"&amp;VLOOKUP('Stage 2'!$E$12,Lookups!$C$193:$D$194,2,FALSE)&amp;"|"&amp;VLOOKUP('Stage 2'!$E$11,Lookups!$C$153:$E$175,3,FALSE)&amp;"|"&amp;VLOOKUP($E$10,Lookups!$C$184:$D$189,2,FALSE)))),Lookups!$H$23:$J$149,2,FALSE),
IFERROR(IFERROR($D27*VLOOKUP($C27&amp;"|"&amp;VLOOKUP('Stage 2'!$E$12,Lookups!$C$193:$D$194,2,FALSE)&amp;"|"&amp;VLOOKUP('Stage 2'!$E$11,Lookups!$C$153:$E$175,3,FALSE)&amp;"|"&amp;VLOOKUP($E$10,Lookups!$C$184:$D$189,2,FALSE),Lookups!$H$23:$J$149,2,FALSE),IFERROR($D27*VLOOKUP($C27&amp;"|"&amp;"FALSE"&amp;"|"&amp;VLOOKUP('Stage 2'!$E$11,Lookups!$C$153:$E$175,3,FALSE)&amp;"|"&amp;VLOOKUP($E$10,Lookups!$C$184:$D$189,2,FALSE),Lookups!$H$23:$J$149,2,FALSE),$D27*VLOOKUP($C27&amp;"|"&amp;VLOOKUP('Stage 2'!$E$12,Lookups!$C$193:$D$194,2,FALSE)&amp;"|"&amp;VLOOKUP('Stage 2'!$E$11,Lookups!$C$153:$E$175,3,FALSE)&amp;"|"&amp;"DrainedArGr",Lookups!$H$23:$J$149,2,FALSE))),IFERROR($D27*VLOOKUP($C27&amp;"|"&amp;VLOOKUP('Stage 2'!$E$11,Lookups!$C$153:$E$175,3,FALSE),Lookups!$K$23:$M$141,2,FALSE),$D27*VLOOKUP($C27,Lookups!$D$23:$O$141,11,FALSE)))))</f>
        <v/>
      </c>
      <c r="F27" s="178" t="str">
        <f>IF(OR(ISBLANK($C27),ISBLANK($D27),ISBLANK($E$10),ISBLANK($E$11)),"",IFERROR($D27*VLOOKUP((IF(OR($C27="Residential urban land",$C27="Commercial/industrial urban land",$C27="Open urban land",$C27="Greenspace",$C27="Community food growing",$C27="Woodland",$C27="Shrub", $C27="Water"), "|||"&amp;$C27, (VLOOKUP('Stage 2'!$E$9,Lookups!$C$179:$D$179,2,FALSE)&amp;"|"&amp;$C27&amp;"|"&amp;VLOOKUP('Stage 2'!$E$12,Lookups!$C$193:$D$194,2,FALSE)&amp;"|"&amp;VLOOKUP('Stage 2'!$E$11,Lookups!$C$153:$E$175,3,FALSE)&amp;"|"&amp;VLOOKUP($E$10,Lookups!$C$184:$D$189,2,FALSE)))),Lookups!$H$23:$J$149,3,FALSE),
IFERROR(IFERROR($D27*VLOOKUP($C27&amp;"|"&amp;VLOOKUP('Stage 2'!$E$12,Lookups!$C$193:$D$194,2,FALSE)&amp;"|"&amp;VLOOKUP('Stage 2'!$E$11,Lookups!$C$153:$E$175,3,FALSE)&amp;"|"&amp;VLOOKUP($E$10,Lookups!$C$184:$D$189,2,FALSE),Lookups!$H$23:$J$149,3,FALSE),IFERROR($D27*VLOOKUP($C27&amp;"|"&amp;"FALSE"&amp;"|"&amp;VLOOKUP('Stage 2'!$E$11,Lookups!$C$153:$E$175,3,FALSE)&amp;"|"&amp;VLOOKUP($E$10,Lookups!$C$184:$D$189,2,FALSE),Lookups!$H$23:$J$149,3,FALSE),$D27*VLOOKUP($C27&amp;"|"&amp;VLOOKUP('Stage 2'!$E$12,Lookups!$C$193:$D$194,2,FALSE)&amp;"|"&amp;VLOOKUP('Stage 2'!$E$11,Lookups!$C$153:$E$175,3,FALSE)&amp;"|"&amp;"DrainedArGr",Lookups!$H$23:$J$149,3,FALSE))),IFERROR($D27*VLOOKUP($C27&amp;"|"&amp;VLOOKUP('Stage 2'!$E$11,Lookups!$C$153:$E$175,3,FALSE),Lookups!$K$23:$M$141,3,FALSE),$D27*VLOOKUP($C27,Lookups!$D$23:$O$141,12,FALSE)))))</f>
        <v/>
      </c>
      <c r="G27" s="155"/>
    </row>
    <row r="28" spans="1:10" x14ac:dyDescent="0.35">
      <c r="A28" s="138"/>
      <c r="B28" s="1"/>
      <c r="C28" s="107"/>
      <c r="D28" s="108"/>
      <c r="E28" s="179" t="str">
        <f>IF(OR(ISBLANK($C28),ISBLANK($D28),ISBLANK($E$10),ISBLANK($E$11)),"",IFERROR($D28*VLOOKUP((IF(OR($C28="Residential urban land",$C28="Commercial/industrial urban land",$C28="Open urban land",$C28="Greenspace",$C28="Community food growing",$C28="Woodland",$C28="Shrub", $C28="Water"), "|||"&amp;$C28, (VLOOKUP('Stage 2'!$E$9,Lookups!$C$179:$D$179,2,FALSE)&amp;"|"&amp;$C28&amp;"|"&amp;VLOOKUP('Stage 2'!$E$12,Lookups!$C$193:$D$194,2,FALSE)&amp;"|"&amp;VLOOKUP('Stage 2'!$E$11,Lookups!$C$153:$E$175,3,FALSE)&amp;"|"&amp;VLOOKUP($E$10,Lookups!$C$184:$D$189,2,FALSE)))),Lookups!$H$23:$J$149,2,FALSE),
IFERROR(IFERROR($D28*VLOOKUP($C28&amp;"|"&amp;VLOOKUP('Stage 2'!$E$12,Lookups!$C$193:$D$194,2,FALSE)&amp;"|"&amp;VLOOKUP('Stage 2'!$E$11,Lookups!$C$153:$E$175,3,FALSE)&amp;"|"&amp;VLOOKUP($E$10,Lookups!$C$184:$D$189,2,FALSE),Lookups!$H$23:$J$149,2,FALSE),IFERROR($D28*VLOOKUP($C28&amp;"|"&amp;"FALSE"&amp;"|"&amp;VLOOKUP('Stage 2'!$E$11,Lookups!$C$153:$E$175,3,FALSE)&amp;"|"&amp;VLOOKUP($E$10,Lookups!$C$184:$D$189,2,FALSE),Lookups!$H$23:$J$149,2,FALSE),$D28*VLOOKUP($C28&amp;"|"&amp;VLOOKUP('Stage 2'!$E$12,Lookups!$C$193:$D$194,2,FALSE)&amp;"|"&amp;VLOOKUP('Stage 2'!$E$11,Lookups!$C$153:$E$175,3,FALSE)&amp;"|"&amp;"DrainedArGr",Lookups!$H$23:$J$149,2,FALSE))),IFERROR($D28*VLOOKUP($C28&amp;"|"&amp;VLOOKUP('Stage 2'!$E$11,Lookups!$C$153:$E$175,3,FALSE),Lookups!$K$23:$M$141,2,FALSE),$D28*VLOOKUP($C28,Lookups!$D$23:$O$141,11,FALSE)))))</f>
        <v/>
      </c>
      <c r="F28" s="178" t="str">
        <f>IF(OR(ISBLANK($C28),ISBLANK($D28),ISBLANK($E$10),ISBLANK($E$11)),"",IFERROR($D28*VLOOKUP((IF(OR($C28="Residential urban land",$C28="Commercial/industrial urban land",$C28="Open urban land",$C28="Greenspace",$C28="Community food growing",$C28="Woodland",$C28="Shrub", $C28="Water"), "|||"&amp;$C28, (VLOOKUP('Stage 2'!$E$9,Lookups!$C$179:$D$179,2,FALSE)&amp;"|"&amp;$C28&amp;"|"&amp;VLOOKUP('Stage 2'!$E$12,Lookups!$C$193:$D$194,2,FALSE)&amp;"|"&amp;VLOOKUP('Stage 2'!$E$11,Lookups!$C$153:$E$175,3,FALSE)&amp;"|"&amp;VLOOKUP($E$10,Lookups!$C$184:$D$189,2,FALSE)))),Lookups!$H$23:$J$149,3,FALSE),
IFERROR(IFERROR($D28*VLOOKUP($C28&amp;"|"&amp;VLOOKUP('Stage 2'!$E$12,Lookups!$C$193:$D$194,2,FALSE)&amp;"|"&amp;VLOOKUP('Stage 2'!$E$11,Lookups!$C$153:$E$175,3,FALSE)&amp;"|"&amp;VLOOKUP($E$10,Lookups!$C$184:$D$189,2,FALSE),Lookups!$H$23:$J$149,3,FALSE),IFERROR($D28*VLOOKUP($C28&amp;"|"&amp;"FALSE"&amp;"|"&amp;VLOOKUP('Stage 2'!$E$11,Lookups!$C$153:$E$175,3,FALSE)&amp;"|"&amp;VLOOKUP($E$10,Lookups!$C$184:$D$189,2,FALSE),Lookups!$H$23:$J$149,3,FALSE),$D28*VLOOKUP($C28&amp;"|"&amp;VLOOKUP('Stage 2'!$E$12,Lookups!$C$193:$D$194,2,FALSE)&amp;"|"&amp;VLOOKUP('Stage 2'!$E$11,Lookups!$C$153:$E$175,3,FALSE)&amp;"|"&amp;"DrainedArGr",Lookups!$H$23:$J$149,3,FALSE))),IFERROR($D28*VLOOKUP($C28&amp;"|"&amp;VLOOKUP('Stage 2'!$E$11,Lookups!$C$153:$E$175,3,FALSE),Lookups!$K$23:$M$141,3,FALSE),$D28*VLOOKUP($C28,Lookups!$D$23:$O$141,12,FALSE)))))</f>
        <v/>
      </c>
      <c r="G28" s="155"/>
      <c r="I28" s="163"/>
    </row>
    <row r="29" spans="1:10" x14ac:dyDescent="0.35">
      <c r="A29" s="138"/>
      <c r="B29" s="1"/>
      <c r="C29" s="107"/>
      <c r="D29" s="108"/>
      <c r="E29" s="179" t="str">
        <f>IF(OR(ISBLANK($C29),ISBLANK($D29),ISBLANK($E$10),ISBLANK($E$11)),"",IFERROR($D29*VLOOKUP((IF(OR($C29="Residential urban land",$C29="Commercial/industrial urban land",$C29="Open urban land",$C29="Greenspace",$C29="Community food growing",$C29="Woodland",$C29="Shrub", $C29="Water"), "|||"&amp;$C29, (VLOOKUP('Stage 2'!$E$9,Lookups!$C$179:$D$179,2,FALSE)&amp;"|"&amp;$C29&amp;"|"&amp;VLOOKUP('Stage 2'!$E$12,Lookups!$C$193:$D$194,2,FALSE)&amp;"|"&amp;VLOOKUP('Stage 2'!$E$11,Lookups!$C$153:$E$175,3,FALSE)&amp;"|"&amp;VLOOKUP($E$10,Lookups!$C$184:$D$189,2,FALSE)))),Lookups!$H$23:$J$149,2,FALSE),
IFERROR(IFERROR($D29*VLOOKUP($C29&amp;"|"&amp;VLOOKUP('Stage 2'!$E$12,Lookups!$C$193:$D$194,2,FALSE)&amp;"|"&amp;VLOOKUP('Stage 2'!$E$11,Lookups!$C$153:$E$175,3,FALSE)&amp;"|"&amp;VLOOKUP($E$10,Lookups!$C$184:$D$189,2,FALSE),Lookups!$H$23:$J$149,2,FALSE),IFERROR($D29*VLOOKUP($C29&amp;"|"&amp;"FALSE"&amp;"|"&amp;VLOOKUP('Stage 2'!$E$11,Lookups!$C$153:$E$175,3,FALSE)&amp;"|"&amp;VLOOKUP($E$10,Lookups!$C$184:$D$189,2,FALSE),Lookups!$H$23:$J$149,2,FALSE),$D29*VLOOKUP($C29&amp;"|"&amp;VLOOKUP('Stage 2'!$E$12,Lookups!$C$193:$D$194,2,FALSE)&amp;"|"&amp;VLOOKUP('Stage 2'!$E$11,Lookups!$C$153:$E$175,3,FALSE)&amp;"|"&amp;"DrainedArGr",Lookups!$H$23:$J$149,2,FALSE))),IFERROR($D29*VLOOKUP($C29&amp;"|"&amp;VLOOKUP('Stage 2'!$E$11,Lookups!$C$153:$E$175,3,FALSE),Lookups!$K$23:$M$141,2,FALSE),$D29*VLOOKUP($C29,Lookups!$D$23:$O$141,11,FALSE)))))</f>
        <v/>
      </c>
      <c r="F29" s="178" t="str">
        <f>IF(OR(ISBLANK($C29),ISBLANK($D29),ISBLANK($E$10),ISBLANK($E$11)),"",IFERROR($D29*VLOOKUP((IF(OR($C29="Residential urban land",$C29="Commercial/industrial urban land",$C29="Open urban land",$C29="Greenspace",$C29="Community food growing",$C29="Woodland",$C29="Shrub", $C29="Water"), "|||"&amp;$C29, (VLOOKUP('Stage 2'!$E$9,Lookups!$C$179:$D$179,2,FALSE)&amp;"|"&amp;$C29&amp;"|"&amp;VLOOKUP('Stage 2'!$E$12,Lookups!$C$193:$D$194,2,FALSE)&amp;"|"&amp;VLOOKUP('Stage 2'!$E$11,Lookups!$C$153:$E$175,3,FALSE)&amp;"|"&amp;VLOOKUP($E$10,Lookups!$C$184:$D$189,2,FALSE)))),Lookups!$H$23:$J$149,3,FALSE),
IFERROR(IFERROR($D29*VLOOKUP($C29&amp;"|"&amp;VLOOKUP('Stage 2'!$E$12,Lookups!$C$193:$D$194,2,FALSE)&amp;"|"&amp;VLOOKUP('Stage 2'!$E$11,Lookups!$C$153:$E$175,3,FALSE)&amp;"|"&amp;VLOOKUP($E$10,Lookups!$C$184:$D$189,2,FALSE),Lookups!$H$23:$J$149,3,FALSE),IFERROR($D29*VLOOKUP($C29&amp;"|"&amp;"FALSE"&amp;"|"&amp;VLOOKUP('Stage 2'!$E$11,Lookups!$C$153:$E$175,3,FALSE)&amp;"|"&amp;VLOOKUP($E$10,Lookups!$C$184:$D$189,2,FALSE),Lookups!$H$23:$J$149,3,FALSE),$D29*VLOOKUP($C29&amp;"|"&amp;VLOOKUP('Stage 2'!$E$12,Lookups!$C$193:$D$194,2,FALSE)&amp;"|"&amp;VLOOKUP('Stage 2'!$E$11,Lookups!$C$153:$E$175,3,FALSE)&amp;"|"&amp;"DrainedArGr",Lookups!$H$23:$J$149,3,FALSE))),IFERROR($D29*VLOOKUP($C29&amp;"|"&amp;VLOOKUP('Stage 2'!$E$11,Lookups!$C$153:$E$175,3,FALSE),Lookups!$K$23:$M$141,3,FALSE),$D29*VLOOKUP($C29,Lookups!$D$23:$O$141,12,FALSE)))))</f>
        <v/>
      </c>
      <c r="G29" s="155"/>
    </row>
    <row r="30" spans="1:10" x14ac:dyDescent="0.35">
      <c r="A30" s="138"/>
      <c r="B30" s="1"/>
      <c r="C30" s="107"/>
      <c r="D30" s="108"/>
      <c r="E30" s="179"/>
      <c r="F30" s="178" t="str">
        <f>IF(OR(ISBLANK($C30),ISBLANK($D30),ISBLANK($E$10),ISBLANK($E$11)),"",IFERROR($D30*VLOOKUP((IF(OR($C30="Residential urban land",$C30="Commercial/industrial urban land",$C30="Open urban land",$C30="Greenspace",$C30="Community food growing",$C30="Woodland",$C30="Shrub", $C30="Water"), "|||"&amp;$C30, (VLOOKUP('Stage 2'!$E$9,Lookups!$C$179:$D$179,2,FALSE)&amp;"|"&amp;$C30&amp;"|"&amp;VLOOKUP('Stage 2'!$E$12,Lookups!$C$193:$D$194,2,FALSE)&amp;"|"&amp;VLOOKUP('Stage 2'!$E$11,Lookups!$C$153:$E$175,3,FALSE)&amp;"|"&amp;VLOOKUP($E$10,Lookups!$C$184:$D$189,2,FALSE)))),Lookups!$H$23:$J$149,3,FALSE),
IFERROR(IFERROR($D30*VLOOKUP($C30&amp;"|"&amp;VLOOKUP('Stage 2'!$E$12,Lookups!$C$193:$D$194,2,FALSE)&amp;"|"&amp;VLOOKUP('Stage 2'!$E$11,Lookups!$C$153:$E$175,3,FALSE)&amp;"|"&amp;VLOOKUP($E$10,Lookups!$C$184:$D$189,2,FALSE),Lookups!$H$23:$J$149,3,FALSE),IFERROR($D30*VLOOKUP($C30&amp;"|"&amp;"FALSE"&amp;"|"&amp;VLOOKUP('Stage 2'!$E$11,Lookups!$C$153:$E$175,3,FALSE)&amp;"|"&amp;VLOOKUP($E$10,Lookups!$C$184:$D$189,2,FALSE),Lookups!$H$23:$J$149,3,FALSE),$D30*VLOOKUP($C30&amp;"|"&amp;VLOOKUP('Stage 2'!$E$12,Lookups!$C$193:$D$194,2,FALSE)&amp;"|"&amp;VLOOKUP('Stage 2'!$E$11,Lookups!$C$153:$E$175,3,FALSE)&amp;"|"&amp;"DrainedArGr",Lookups!$H$23:$J$149,3,FALSE))),IFERROR($D30*VLOOKUP($C30&amp;"|"&amp;VLOOKUP('Stage 2'!$E$11,Lookups!$C$153:$E$175,3,FALSE),Lookups!$K$23:$M$141,3,FALSE),$D30*VLOOKUP($C30,Lookups!$D$23:$O$141,12,FALSE)))))</f>
        <v/>
      </c>
      <c r="G30" s="155"/>
    </row>
    <row r="31" spans="1:10" ht="15" thickBot="1" x14ac:dyDescent="0.4">
      <c r="A31" s="138"/>
      <c r="B31" s="1"/>
      <c r="C31" s="107"/>
      <c r="D31" s="109"/>
      <c r="E31" s="192" t="str">
        <f>IF(OR(ISBLANK($C31),ISBLANK($D31),ISBLANK($E$10),ISBLANK($E$11)),"",IFERROR($D31*VLOOKUP((IF(OR($C31="Residential urban land",$C31="Commercial/industrial urban land",$C31="Open urban land",$C31="Greenspace",$C31="Community food growing",$C31="Woodland",$C31="Shrub", $C31="Water"), "|||"&amp;$C31, (VLOOKUP('Stage 2'!$E$9,Lookups!$C$179:$D$179,2,FALSE)&amp;"|"&amp;$C31&amp;"|"&amp;VLOOKUP('Stage 2'!$E$12,Lookups!$C$193:$D$194,2,FALSE)&amp;"|"&amp;VLOOKUP('Stage 2'!$E$11,Lookups!$C$153:$E$175,3,FALSE)&amp;"|"&amp;VLOOKUP($E$10,Lookups!$C$184:$D$189,2,FALSE)))),Lookups!$H$23:$J$149,2,FALSE),
IFERROR(IFERROR($D31*VLOOKUP($C31&amp;"|"&amp;VLOOKUP('Stage 2'!$E$12,Lookups!$C$193:$D$194,2,FALSE)&amp;"|"&amp;VLOOKUP('Stage 2'!$E$11,Lookups!$C$153:$E$175,3,FALSE)&amp;"|"&amp;VLOOKUP($E$10,Lookups!$C$184:$D$189,2,FALSE),Lookups!$H$23:$J$149,2,FALSE),IFERROR($D31*VLOOKUP($C31&amp;"|"&amp;"FALSE"&amp;"|"&amp;VLOOKUP('Stage 2'!$E$11,Lookups!$C$153:$E$175,3,FALSE)&amp;"|"&amp;VLOOKUP($E$10,Lookups!$C$184:$D$189,2,FALSE),Lookups!$H$23:$J$149,2,FALSE),$D31*VLOOKUP($C31&amp;"|"&amp;VLOOKUP('Stage 2'!$E$12,Lookups!$C$193:$D$194,2,FALSE)&amp;"|"&amp;VLOOKUP('Stage 2'!$E$11,Lookups!$C$153:$E$175,3,FALSE)&amp;"|"&amp;"DrainedArGr",Lookups!$H$23:$J$149,2,FALSE))),IFERROR($D31*VLOOKUP($C31&amp;"|"&amp;VLOOKUP('Stage 2'!$E$11,Lookups!$C$153:$E$175,3,FALSE),Lookups!$K$23:$M$141,2,FALSE),$D31*VLOOKUP($C31,Lookups!$D$23:$O$141,11,FALSE)))))</f>
        <v/>
      </c>
      <c r="F31" s="121" t="str">
        <f>IF(OR(ISBLANK($C31),ISBLANK($D31),ISBLANK($E$10),ISBLANK($E$11)),"",IFERROR($D31*VLOOKUP((IF(OR($C31="Residential urban land",$C31="Commercial/industrial urban land",$C31="Open urban land",$C31="Greenspace",$C31="Community food growing",$C31="Woodland",$C31="Shrub", $C31="Water"), "|||"&amp;$C31, (VLOOKUP('Stage 2'!$E$9,Lookups!$C$179:$D$179,2,FALSE)&amp;"|"&amp;$C31&amp;"|"&amp;VLOOKUP('Stage 2'!$E$12,Lookups!$C$193:$D$194,2,FALSE)&amp;"|"&amp;VLOOKUP('Stage 2'!$E$11,Lookups!$C$153:$E$175,3,FALSE)&amp;"|"&amp;VLOOKUP($E$10,Lookups!$C$184:$D$189,2,FALSE)))),Lookups!$H$23:$J$149,3,FALSE),
IFERROR(IFERROR($D31*VLOOKUP($C31&amp;"|"&amp;VLOOKUP('Stage 2'!$E$12,Lookups!$C$193:$D$194,2,FALSE)&amp;"|"&amp;VLOOKUP('Stage 2'!$E$11,Lookups!$C$153:$E$175,3,FALSE)&amp;"|"&amp;VLOOKUP($E$10,Lookups!$C$184:$D$189,2,FALSE),Lookups!$H$23:$J$149,3,FALSE),IFERROR($D31*VLOOKUP($C31&amp;"|"&amp;"FALSE"&amp;"|"&amp;VLOOKUP('Stage 2'!$E$11,Lookups!$C$153:$E$175,3,FALSE)&amp;"|"&amp;VLOOKUP($E$10,Lookups!$C$184:$D$189,2,FALSE),Lookups!$H$23:$J$149,3,FALSE),$D31*VLOOKUP($C31&amp;"|"&amp;VLOOKUP('Stage 2'!$E$12,Lookups!$C$193:$D$194,2,FALSE)&amp;"|"&amp;VLOOKUP('Stage 2'!$E$11,Lookups!$C$153:$E$175,3,FALSE)&amp;"|"&amp;"DrainedArGr",Lookups!$H$23:$J$149,3,FALSE))),IFERROR($D31*VLOOKUP($C31&amp;"|"&amp;VLOOKUP('Stage 2'!$E$11,Lookups!$C$153:$E$175,3,FALSE),Lookups!$K$23:$M$141,3,FALSE),$D31*VLOOKUP($C31,Lookups!$D$23:$O$141,12,FALSE)))))</f>
        <v/>
      </c>
      <c r="G31" s="155"/>
    </row>
    <row r="32" spans="1:10" x14ac:dyDescent="0.35">
      <c r="A32" s="138"/>
      <c r="B32" s="1"/>
      <c r="C32" s="76" t="s">
        <v>112</v>
      </c>
      <c r="D32" s="100">
        <f>SUM(D15:D31)</f>
        <v>0</v>
      </c>
      <c r="E32" s="101">
        <f>SUM(E15:E31)</f>
        <v>0</v>
      </c>
      <c r="F32" s="177">
        <f>SUM(F15:F31)</f>
        <v>0</v>
      </c>
      <c r="G32" s="122"/>
    </row>
    <row r="33" spans="1:7" ht="15" thickBot="1" x14ac:dyDescent="0.4">
      <c r="A33" s="138"/>
      <c r="B33" s="148"/>
      <c r="C33" s="135"/>
      <c r="D33" s="135"/>
      <c r="E33" s="135"/>
      <c r="F33" s="135"/>
      <c r="G33" s="136"/>
    </row>
    <row r="34" spans="1:7" ht="15" thickTop="1" x14ac:dyDescent="0.35"/>
  </sheetData>
  <sheetProtection algorithmName="SHA-512" hashValue="02R/jdGQetBp/pLyvh2Tu/k3VqqSw59/pApTxKChKWY5yg7Qc3WWhjvrXylgAqYZL2WR5982UiUJkexwKS04Cw==" saltValue="4a6Ign/v2NhWSUfCtQoURA=="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dataValidations xWindow="591" yWindow="293" count="1">
    <dataValidation allowBlank="1" showInputMessage="1" showErrorMessage="1" prompt="Please enter area in hectares." sqref="D15:D3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591" yWindow="293"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14:formula1>
            <xm:f>Lookups!$D$179</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14:formula1>
            <xm:f>Lookups!$C$161:$C$168</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14:formula1>
            <xm:f>Lookups!$C$194</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14:formula1>
            <xm:f>Lookups!$C$184:$C$189</xm:f>
          </x14:formula1>
          <xm:sqref>E10</xm:sqref>
        </x14:dataValidation>
        <x14:dataValidation type="list" allowBlank="1" showInputMessage="1" showErrorMessage="1" errorTitle="Landcover" error="Please select all pre exisitng landcover types." prompt="Select exisiting (pre-development) land use types from the drop down list.">
          <x14:formula1>
            <xm:f>Lookups!$I$179:$I$193</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9"/>
  <sheetViews>
    <sheetView showRowColHeaders="0" zoomScaleNormal="100" workbookViewId="0">
      <selection activeCell="C10" sqref="C10"/>
    </sheetView>
  </sheetViews>
  <sheetFormatPr defaultColWidth="9.1796875" defaultRowHeight="14.5" x14ac:dyDescent="0.35"/>
  <cols>
    <col min="1" max="1" width="9.1796875" style="137"/>
    <col min="2" max="2" width="4.7265625" style="137" customWidth="1"/>
    <col min="3" max="3" width="32" style="137" customWidth="1"/>
    <col min="4" max="4" width="12.453125" style="137" customWidth="1"/>
    <col min="5" max="5" width="19.54296875" style="137" customWidth="1"/>
    <col min="6" max="6" width="18.81640625" style="137" customWidth="1"/>
    <col min="7" max="7" width="4.54296875" style="137" customWidth="1"/>
    <col min="8" max="16384" width="9.1796875" style="137"/>
  </cols>
  <sheetData>
    <row r="3" spans="1:9" x14ac:dyDescent="0.35">
      <c r="A3" s="138"/>
      <c r="B3" s="252" t="s">
        <v>113</v>
      </c>
      <c r="C3" s="253"/>
      <c r="D3" s="253"/>
      <c r="E3" s="253"/>
      <c r="F3" s="253"/>
      <c r="G3" s="254"/>
    </row>
    <row r="4" spans="1:9" x14ac:dyDescent="0.35">
      <c r="A4" s="138"/>
      <c r="B4" s="252"/>
      <c r="C4" s="253"/>
      <c r="D4" s="253"/>
      <c r="E4" s="253"/>
      <c r="F4" s="253"/>
      <c r="G4" s="254"/>
    </row>
    <row r="5" spans="1:9" x14ac:dyDescent="0.35">
      <c r="A5" s="138"/>
      <c r="B5" s="252"/>
      <c r="C5" s="253"/>
      <c r="D5" s="253"/>
      <c r="E5" s="253"/>
      <c r="F5" s="253"/>
      <c r="G5" s="254"/>
    </row>
    <row r="6" spans="1:9" ht="16.5" x14ac:dyDescent="0.35">
      <c r="A6" s="138"/>
      <c r="B6" s="1"/>
      <c r="C6" s="1"/>
      <c r="D6" s="1"/>
      <c r="E6" s="1"/>
      <c r="F6" s="1"/>
      <c r="G6" s="146"/>
    </row>
    <row r="7" spans="1:9" ht="18" customHeight="1" x14ac:dyDescent="0.35">
      <c r="A7" s="138"/>
      <c r="B7" s="1"/>
      <c r="C7" s="257" t="s">
        <v>75</v>
      </c>
      <c r="D7" s="257"/>
      <c r="E7" s="257"/>
      <c r="F7" s="257"/>
      <c r="G7" s="145"/>
    </row>
    <row r="8" spans="1:9" x14ac:dyDescent="0.35">
      <c r="A8" s="138"/>
      <c r="B8" s="1"/>
      <c r="C8" s="1"/>
      <c r="D8" s="1"/>
      <c r="E8" s="1"/>
      <c r="F8" s="1"/>
      <c r="G8" s="122"/>
    </row>
    <row r="9" spans="1:9" ht="68.25" customHeight="1" thickBot="1" x14ac:dyDescent="0.4">
      <c r="A9" s="138"/>
      <c r="B9" s="1"/>
      <c r="C9" s="77" t="s">
        <v>114</v>
      </c>
      <c r="D9" s="77" t="s">
        <v>109</v>
      </c>
      <c r="E9" s="74" t="s">
        <v>110</v>
      </c>
      <c r="F9" s="75" t="s">
        <v>115</v>
      </c>
      <c r="G9" s="122"/>
    </row>
    <row r="10" spans="1:9" x14ac:dyDescent="0.35">
      <c r="A10" s="138"/>
      <c r="B10" s="1"/>
      <c r="C10" s="107"/>
      <c r="D10" s="108"/>
      <c r="E10" s="214" t="str">
        <f>IF(OR(ISBLANK(C10),ISBLANK(D10)),"",D10*VLOOKUP((IF(OR(C10="Residential urban land",C10="Commercial/industrial urban land",C10="Open urban land",C10="Greenspace",C10="Community food growing",C10="Woodland",C10="Shrub", C10="Water"), "|||"&amp;C10, (VLOOKUP('Stage 2'!$E$9,Lookups!$C$179:$D$179,2,FALSE)&amp;"|"&amp;C10&amp;"|"&amp;VLOOKUP('Stage 2'!$E$12,Lookups!$C$193:$D$194,2,FALSE)&amp;"|"&amp;VLOOKUP('Stage 2'!$E$11,Lookups!$C$153:$E$175,3,FALSE)&amp;"|"&amp;VLOOKUP('Stage 2'!$E$10,Lookups!$C$184:$E$189,2,FALSE)))),Lookups!$H$23:$J$149,2,FALSE))</f>
        <v/>
      </c>
      <c r="F10" s="178" t="str">
        <f>IF(OR(ISBLANK(C10),ISBLANK(D10)),"",D10*VLOOKUP((IF(OR(C10="Residential urban land",C10="Commercial/industrial urban land",C10="Open urban land",C10="Greenspace",C10="Community food growing",C10="Woodland",C10="Shrub", C10="Water"), "|||"&amp;C10, (VLOOKUP('Stage 2'!$E$9,Lookups!$C$179:$D$179,2,FALSE)&amp;"|"&amp;C10&amp;"|"&amp;VLOOKUP('Stage 2'!$E$12,Lookups!$C$193:$D$194,2,FALSE)&amp;"|"&amp;VLOOKUP('Stage 2'!$E$11,Lookups!$C$153:$E$175,3,FALSE)&amp;"|"&amp;VLOOKUP('Stage 2'!$E$10,Lookups!$C$184:$E$189,2,FALSE)))),Lookups!$H$23:$J$149,3,FALSE))</f>
        <v/>
      </c>
      <c r="G10" s="122"/>
    </row>
    <row r="11" spans="1:9" x14ac:dyDescent="0.35">
      <c r="A11" s="138"/>
      <c r="B11" s="1"/>
      <c r="C11" s="107"/>
      <c r="D11" s="108"/>
      <c r="E11" s="214" t="str">
        <f>IF(OR(ISBLANK(C11),ISBLANK(D11)),"",D11*VLOOKUP((IF(OR(C11="Residential urban land",C11="Commercial/industrial urban land",C11="Open urban land",C11="Greenspace",C11="Community food growing",C11="Woodland",C11="Shrub", C11="Water"), "|||"&amp;C11, (VLOOKUP('Stage 2'!$E$9,Lookups!$C$179:$D$179,2,FALSE)&amp;"|"&amp;C11&amp;"|"&amp;VLOOKUP('Stage 2'!$E$12,Lookups!$C$193:$D$194,2,FALSE)&amp;"|"&amp;VLOOKUP('Stage 2'!$E$11,Lookups!$C$153:$E$175,3,FALSE)&amp;"|"&amp;VLOOKUP('Stage 2'!$E$10,Lookups!$C$184:$E$189,2,FALSE)))),Lookups!$H$23:$J$149,2,FALSE))</f>
        <v/>
      </c>
      <c r="F11" s="178" t="str">
        <f>IF(OR(ISBLANK(C11),ISBLANK(D11)),"",D11*VLOOKUP((IF(OR(C11="Residential urban land",C11="Commercial/industrial urban land",C11="Open urban land",C11="Greenspace",C11="Community food growing",C11="Woodland",C11="Shrub", C11="Water"), "|||"&amp;C11, (VLOOKUP('Stage 2'!$E$9,Lookups!$C$179:$D$179,2,FALSE)&amp;"|"&amp;C11&amp;"|"&amp;VLOOKUP('Stage 2'!$E$12,Lookups!$C$193:$D$194,2,FALSE)&amp;"|"&amp;VLOOKUP('Stage 2'!$E$11,Lookups!$C$153:$E$175,3,FALSE)&amp;"|"&amp;VLOOKUP('Stage 2'!$E$10,Lookups!$C$184:$E$189,2,FALSE)))),Lookups!$H$23:$J$149,3,FALSE))</f>
        <v/>
      </c>
      <c r="G11" s="122"/>
    </row>
    <row r="12" spans="1:9" x14ac:dyDescent="0.35">
      <c r="A12" s="138"/>
      <c r="B12" s="1"/>
      <c r="C12" s="107"/>
      <c r="D12" s="108"/>
      <c r="E12" s="214" t="str">
        <f>IF(OR(ISBLANK(C12),ISBLANK(D12)),"",D12*VLOOKUP((IF(OR(C12="Residential urban land",C12="Commercial/industrial urban land",C12="Open urban land",C12="Greenspace",C12="Community food growing",C12="Woodland",C12="Shrub", C12="Water"), "|||"&amp;C12, (VLOOKUP('Stage 2'!$E$9,Lookups!$C$179:$D$179,2,FALSE)&amp;"|"&amp;C12&amp;"|"&amp;VLOOKUP('Stage 2'!$E$12,Lookups!$C$193:$D$194,2,FALSE)&amp;"|"&amp;VLOOKUP('Stage 2'!$E$11,Lookups!$C$153:$E$175,3,FALSE)&amp;"|"&amp;VLOOKUP('Stage 2'!$E$10,Lookups!$C$184:$E$189,2,FALSE)))),Lookups!$H$23:$J$149,2,FALSE))</f>
        <v/>
      </c>
      <c r="F12" s="178" t="str">
        <f>IF(OR(ISBLANK(C12),ISBLANK(D12)),"",D12*VLOOKUP((IF(OR(C12="Residential urban land",C12="Commercial/industrial urban land",C12="Open urban land",C12="Greenspace",C12="Community food growing",C12="Woodland",C12="Shrub", C12="Water"), "|||"&amp;C12, (VLOOKUP('Stage 2'!$E$9,Lookups!$C$179:$D$179,2,FALSE)&amp;"|"&amp;C12&amp;"|"&amp;VLOOKUP('Stage 2'!$E$12,Lookups!$C$193:$D$194,2,FALSE)&amp;"|"&amp;VLOOKUP('Stage 2'!$E$11,Lookups!$C$153:$E$175,3,FALSE)&amp;"|"&amp;VLOOKUP('Stage 2'!$E$10,Lookups!$C$184:$E$189,2,FALSE)))),Lookups!$H$23:$J$149,3,FALSE))</f>
        <v/>
      </c>
      <c r="G12" s="122"/>
    </row>
    <row r="13" spans="1:9" x14ac:dyDescent="0.35">
      <c r="A13" s="138"/>
      <c r="B13" s="1"/>
      <c r="C13" s="107"/>
      <c r="D13" s="108"/>
      <c r="E13" s="214" t="str">
        <f>IF(OR(ISBLANK(C13),ISBLANK(D13)),"",D13*VLOOKUP((IF(OR(C13="Residential urban land",C13="Commercial/industrial urban land",C13="Open urban land",C13="Greenspace",C13="Community food growing",C13="Woodland",C13="Shrub", C13="Water"), "|||"&amp;C13, (VLOOKUP('Stage 2'!$E$9,Lookups!$C$179:$D$179,2,FALSE)&amp;"|"&amp;C13&amp;"|"&amp;VLOOKUP('Stage 2'!$E$12,Lookups!$C$193:$D$194,2,FALSE)&amp;"|"&amp;VLOOKUP('Stage 2'!$E$11,Lookups!$C$153:$E$175,3,FALSE)&amp;"|"&amp;VLOOKUP('Stage 2'!$E$10,Lookups!$C$184:$E$189,2,FALSE)))),Lookups!$H$23:$J$149,2,FALSE))</f>
        <v/>
      </c>
      <c r="F13" s="178" t="str">
        <f>IF(OR(ISBLANK(C13),ISBLANK(D13)),"",D13*VLOOKUP((IF(OR(C13="Residential urban land",C13="Commercial/industrial urban land",C13="Open urban land",C13="Greenspace",C13="Community food growing",C13="Woodland",C13="Shrub", C13="Water"), "|||"&amp;C13, (VLOOKUP('Stage 2'!$E$9,Lookups!$C$179:$D$179,2,FALSE)&amp;"|"&amp;C13&amp;"|"&amp;VLOOKUP('Stage 2'!$E$12,Lookups!$C$193:$D$194,2,FALSE)&amp;"|"&amp;VLOOKUP('Stage 2'!$E$11,Lookups!$C$153:$E$175,3,FALSE)&amp;"|"&amp;VLOOKUP('Stage 2'!$E$10,Lookups!$C$184:$E$189,2,FALSE)))),Lookups!$H$23:$J$149,3,FALSE))</f>
        <v/>
      </c>
      <c r="G13" s="122"/>
    </row>
    <row r="14" spans="1:9" x14ac:dyDescent="0.35">
      <c r="A14" s="138"/>
      <c r="B14" s="1"/>
      <c r="C14" s="107"/>
      <c r="D14" s="108"/>
      <c r="E14" s="214" t="str">
        <f>IF(OR(ISBLANK(C14),ISBLANK(D14)),"",D14*VLOOKUP((IF(OR(C14="Residential urban land",C14="Commercial/industrial urban land",C14="Open urban land",C14="Greenspace",C14="Community food growing",C14="Woodland",C14="Shrub", C14="Water"), "|||"&amp;C14, (VLOOKUP('Stage 2'!$E$9,Lookups!$C$179:$D$179,2,FALSE)&amp;"|"&amp;C14&amp;"|"&amp;VLOOKUP('Stage 2'!$E$12,Lookups!$C$193:$D$194,2,FALSE)&amp;"|"&amp;VLOOKUP('Stage 2'!$E$11,Lookups!$C$153:$E$175,3,FALSE)&amp;"|"&amp;VLOOKUP('Stage 2'!$E$10,Lookups!$C$184:$E$189,2,FALSE)))),Lookups!$H$23:$J$149,2,FALSE))</f>
        <v/>
      </c>
      <c r="F14" s="178" t="str">
        <f>IF(OR(ISBLANK(C14),ISBLANK(D14)),"",D14*VLOOKUP((IF(OR(C14="Residential urban land",C14="Commercial/industrial urban land",C14="Open urban land",C14="Greenspace",C14="Community food growing",C14="Woodland",C14="Shrub", C14="Water"), "|||"&amp;C14, (VLOOKUP('Stage 2'!$E$9,Lookups!$C$179:$D$179,2,FALSE)&amp;"|"&amp;C14&amp;"|"&amp;VLOOKUP('Stage 2'!$E$12,Lookups!$C$193:$D$194,2,FALSE)&amp;"|"&amp;VLOOKUP('Stage 2'!$E$11,Lookups!$C$153:$E$175,3,FALSE)&amp;"|"&amp;VLOOKUP('Stage 2'!$E$10,Lookups!$C$184:$E$189,2,FALSE)))),Lookups!$H$23:$J$149,3,FALSE))</f>
        <v/>
      </c>
      <c r="G14" s="122"/>
    </row>
    <row r="15" spans="1:9" x14ac:dyDescent="0.35">
      <c r="A15" s="138"/>
      <c r="B15" s="1"/>
      <c r="C15" s="107"/>
      <c r="D15" s="108"/>
      <c r="E15" s="214" t="str">
        <f>IF(OR(ISBLANK(C15),ISBLANK(D15)),"",D15*VLOOKUP((IF(OR(C15="Residential urban land",C15="Commercial/industrial urban land",C15="Open urban land",C15="Greenspace",C15="Community food growing",C15="Woodland",C15="Shrub", C15="Water"), "|||"&amp;C15, (VLOOKUP('Stage 2'!$E$9,Lookups!$C$179:$D$179,2,FALSE)&amp;"|"&amp;C15&amp;"|"&amp;VLOOKUP('Stage 2'!$E$12,Lookups!$C$193:$D$194,2,FALSE)&amp;"|"&amp;VLOOKUP('Stage 2'!$E$11,Lookups!$C$153:$E$175,3,FALSE)&amp;"|"&amp;VLOOKUP('Stage 2'!$E$10,Lookups!$C$184:$E$189,2,FALSE)))),Lookups!$H$23:$J$149,2,FALSE))</f>
        <v/>
      </c>
      <c r="F15" s="178" t="str">
        <f>IF(OR(ISBLANK(C15),ISBLANK(D15)),"",D15*VLOOKUP((IF(OR(C15="Residential urban land",C15="Commercial/industrial urban land",C15="Open urban land",C15="Greenspace",C15="Community food growing",C15="Woodland",C15="Shrub", C15="Water"), "|||"&amp;C15, (VLOOKUP('Stage 2'!$E$9,Lookups!$C$179:$D$179,2,FALSE)&amp;"|"&amp;C15&amp;"|"&amp;VLOOKUP('Stage 2'!$E$12,Lookups!$C$193:$D$194,2,FALSE)&amp;"|"&amp;VLOOKUP('Stage 2'!$E$11,Lookups!$C$153:$E$175,3,FALSE)&amp;"|"&amp;VLOOKUP('Stage 2'!$E$10,Lookups!$C$184:$E$189,2,FALSE)))),Lookups!$H$23:$J$149,3,FALSE))</f>
        <v/>
      </c>
      <c r="G15" s="122"/>
      <c r="I15" s="163"/>
    </row>
    <row r="16" spans="1:9" x14ac:dyDescent="0.35">
      <c r="A16" s="138"/>
      <c r="B16" s="1"/>
      <c r="C16" s="107"/>
      <c r="D16" s="108"/>
      <c r="E16" s="214" t="str">
        <f>IF(OR(ISBLANK(C16),ISBLANK(D16)),"",D16*VLOOKUP((IF(OR(C16="Residential urban land",C16="Commercial/industrial urban land",C16="Open urban land",C16="Greenspace",C16="Community food growing",C16="Woodland",C16="Shrub", C16="Water"), "|||"&amp;C16, (VLOOKUP('Stage 2'!$E$9,Lookups!$C$179:$D$179,2,FALSE)&amp;"|"&amp;C16&amp;"|"&amp;VLOOKUP('Stage 2'!$E$12,Lookups!$C$193:$D$194,2,FALSE)&amp;"|"&amp;VLOOKUP('Stage 2'!$E$11,Lookups!$C$153:$E$175,3,FALSE)&amp;"|"&amp;VLOOKUP('Stage 2'!$E$10,Lookups!$C$184:$E$189,2,FALSE)))),Lookups!$H$23:$J$149,2,FALSE))</f>
        <v/>
      </c>
      <c r="F16" s="178" t="str">
        <f>IF(OR(ISBLANK(C16),ISBLANK(D16)),"",D16*VLOOKUP((IF(OR(C16="Residential urban land",C16="Commercial/industrial urban land",C16="Open urban land",C16="Greenspace",C16="Community food growing",C16="Woodland",C16="Shrub", C16="Water"), "|||"&amp;C16, (VLOOKUP('Stage 2'!$E$9,Lookups!$C$179:$D$179,2,FALSE)&amp;"|"&amp;C16&amp;"|"&amp;VLOOKUP('Stage 2'!$E$12,Lookups!$C$193:$D$194,2,FALSE)&amp;"|"&amp;VLOOKUP('Stage 2'!$E$11,Lookups!$C$153:$E$175,3,FALSE)&amp;"|"&amp;VLOOKUP('Stage 2'!$E$10,Lookups!$C$184:$E$189,2,FALSE)))),Lookups!$H$23:$J$149,3,FALSE))</f>
        <v/>
      </c>
      <c r="G16" s="122"/>
    </row>
    <row r="17" spans="1:7" x14ac:dyDescent="0.35">
      <c r="A17" s="138"/>
      <c r="B17" s="1"/>
      <c r="C17" s="107"/>
      <c r="D17" s="108"/>
      <c r="E17" s="214" t="str">
        <f>IF(OR(ISBLANK(C17),ISBLANK(D17)),"",D17*VLOOKUP((IF(OR(C17="Residential urban land",C17="Commercial/industrial urban land",C17="Open urban land",C17="Greenspace",C17="Community food growing",C17="Woodland",C17="Shrub", C17="Water"), "|||"&amp;C17, (VLOOKUP('Stage 2'!$E$9,Lookups!$C$179:$D$179,2,FALSE)&amp;"|"&amp;C17&amp;"|"&amp;VLOOKUP('Stage 2'!$E$12,Lookups!$C$193:$D$194,2,FALSE)&amp;"|"&amp;VLOOKUP('Stage 2'!$E$11,Lookups!$C$153:$E$175,3,FALSE)&amp;"|"&amp;VLOOKUP('Stage 2'!$E$10,Lookups!$C$184:$E$189,2,FALSE)))),Lookups!$H$23:$J$149,2,FALSE))</f>
        <v/>
      </c>
      <c r="F17" s="178" t="str">
        <f>IF(OR(ISBLANK(C17),ISBLANK(D17)),"",D17*VLOOKUP((IF(OR(C17="Residential urban land",C17="Commercial/industrial urban land",C17="Open urban land",C17="Greenspace",C17="Community food growing",C17="Woodland",C17="Shrub", C17="Water"), "|||"&amp;C17, (VLOOKUP('Stage 2'!$E$9,Lookups!$C$179:$D$179,2,FALSE)&amp;"|"&amp;C17&amp;"|"&amp;VLOOKUP('Stage 2'!$E$12,Lookups!$C$193:$D$194,2,FALSE)&amp;"|"&amp;VLOOKUP('Stage 2'!$E$11,Lookups!$C$153:$E$175,3,FALSE)&amp;"|"&amp;VLOOKUP('Stage 2'!$E$10,Lookups!$C$184:$E$189,2,FALSE)))),Lookups!$H$23:$J$149,3,FALSE))</f>
        <v/>
      </c>
      <c r="G17" s="122"/>
    </row>
    <row r="18" spans="1:7" x14ac:dyDescent="0.35">
      <c r="A18" s="138"/>
      <c r="B18" s="1"/>
      <c r="C18" s="107"/>
      <c r="D18" s="117"/>
      <c r="E18" s="214" t="str">
        <f>IF(OR(ISBLANK(C18),ISBLANK(D18)),"",D18*VLOOKUP((IF(OR(C18="Residential urban land",C18="Commercial/industrial urban land",C18="Open urban land",C18="Greenspace",C18="Community food growing",C18="Woodland",C18="Shrub", C18="Water"), "|||"&amp;C18, (VLOOKUP('Stage 2'!$E$9,Lookups!$C$179:$D$179,2,FALSE)&amp;"|"&amp;C18&amp;"|"&amp;VLOOKUP('Stage 2'!$E$12,Lookups!$C$193:$D$194,2,FALSE)&amp;"|"&amp;VLOOKUP('Stage 2'!$E$11,Lookups!$C$153:$E$175,3,FALSE)&amp;"|"&amp;VLOOKUP('Stage 2'!$E$10,Lookups!$C$184:$E$189,2,FALSE)))),Lookups!$H$23:$J$149,2,FALSE))</f>
        <v/>
      </c>
      <c r="F18" s="178" t="str">
        <f>IF(OR(ISBLANK(C18),ISBLANK(D18)),"",D18*VLOOKUP((IF(OR(C18="Residential urban land",C18="Commercial/industrial urban land",C18="Open urban land",C18="Greenspace",C18="Community food growing",C18="Woodland",C18="Shrub", C18="Water"), "|||"&amp;C18, (VLOOKUP('Stage 2'!$E$9,Lookups!$C$179:$D$179,2,FALSE)&amp;"|"&amp;C18&amp;"|"&amp;VLOOKUP('Stage 2'!$E$12,Lookups!$C$193:$D$194,2,FALSE)&amp;"|"&amp;VLOOKUP('Stage 2'!$E$11,Lookups!$C$153:$E$175,3,FALSE)&amp;"|"&amp;VLOOKUP('Stage 2'!$E$10,Lookups!$C$184:$E$189,2,FALSE)))),Lookups!$H$23:$J$149,3,FALSE))</f>
        <v/>
      </c>
      <c r="G18" s="122"/>
    </row>
    <row r="19" spans="1:7" x14ac:dyDescent="0.35">
      <c r="A19" s="138"/>
      <c r="B19" s="1"/>
      <c r="C19" s="107"/>
      <c r="D19" s="117"/>
      <c r="E19" s="214" t="str">
        <f>IF(OR(ISBLANK(C19),ISBLANK(D19)),"",D19*VLOOKUP((IF(OR(C19="Residential urban land",C19="Commercial/industrial urban land",C19="Open urban land",C19="Greenspace",C19="Community food growing",C19="Woodland",C19="Shrub", C19="Water"), "|||"&amp;C19, (VLOOKUP('Stage 2'!$E$9,Lookups!$C$179:$D$179,2,FALSE)&amp;"|"&amp;C19&amp;"|"&amp;VLOOKUP('Stage 2'!$E$12,Lookups!$C$193:$D$194,2,FALSE)&amp;"|"&amp;VLOOKUP('Stage 2'!$E$11,Lookups!$C$153:$E$175,3,FALSE)&amp;"|"&amp;VLOOKUP('Stage 2'!$E$10,Lookups!$C$184:$E$189,2,FALSE)))),Lookups!$H$23:$J$149,2,FALSE))</f>
        <v/>
      </c>
      <c r="F19" s="178" t="str">
        <f>IF(OR(ISBLANK(C19),ISBLANK(D19)),"",D19*VLOOKUP((IF(OR(C19="Residential urban land",C19="Commercial/industrial urban land",C19="Open urban land",C19="Greenspace",C19="Community food growing",C19="Woodland",C19="Shrub", C19="Water"), "|||"&amp;C19, (VLOOKUP('Stage 2'!$E$9,Lookups!$C$179:$D$179,2,FALSE)&amp;"|"&amp;C19&amp;"|"&amp;VLOOKUP('Stage 2'!$E$12,Lookups!$C$193:$D$194,2,FALSE)&amp;"|"&amp;VLOOKUP('Stage 2'!$E$11,Lookups!$C$153:$E$175,3,FALSE)&amp;"|"&amp;VLOOKUP('Stage 2'!$E$10,Lookups!$C$184:$E$189,2,FALSE)))),Lookups!$H$23:$J$149,3,FALSE))</f>
        <v/>
      </c>
      <c r="G19" s="122"/>
    </row>
    <row r="20" spans="1:7" x14ac:dyDescent="0.35">
      <c r="A20" s="138"/>
      <c r="B20" s="1"/>
      <c r="C20" s="107"/>
      <c r="D20" s="117"/>
      <c r="E20" s="214" t="str">
        <f>IF(OR(ISBLANK(C20),ISBLANK(D20)),"",D20*VLOOKUP((IF(OR(C20="Residential urban land",C20="Commercial/industrial urban land",C20="Open urban land",C20="Greenspace",C20="Community food growing",C20="Woodland",C20="Shrub", C20="Water"), "|||"&amp;C20, (VLOOKUP('Stage 2'!$E$9,Lookups!$C$179:$D$179,2,FALSE)&amp;"|"&amp;C20&amp;"|"&amp;VLOOKUP('Stage 2'!$E$12,Lookups!$C$193:$D$194,2,FALSE)&amp;"|"&amp;VLOOKUP('Stage 2'!$E$11,Lookups!$C$153:$E$175,3,FALSE)&amp;"|"&amp;VLOOKUP('Stage 2'!$E$10,Lookups!$C$184:$E$189,2,FALSE)))),Lookups!$H$23:$J$149,2,FALSE))</f>
        <v/>
      </c>
      <c r="F20" s="178" t="str">
        <f>IF(OR(ISBLANK(C20),ISBLANK(D20)),"",D20*VLOOKUP((IF(OR(C20="Residential urban land",C20="Commercial/industrial urban land",C20="Open urban land",C20="Greenspace",C20="Community food growing",C20="Woodland",C20="Shrub", C20="Water"), "|||"&amp;C20, (VLOOKUP('Stage 2'!$E$9,Lookups!$C$179:$D$179,2,FALSE)&amp;"|"&amp;C20&amp;"|"&amp;VLOOKUP('Stage 2'!$E$12,Lookups!$C$193:$D$194,2,FALSE)&amp;"|"&amp;VLOOKUP('Stage 2'!$E$11,Lookups!$C$153:$E$175,3,FALSE)&amp;"|"&amp;VLOOKUP('Stage 2'!$E$10,Lookups!$C$184:$E$189,2,FALSE)))),Lookups!$H$23:$J$149,3,FALSE))</f>
        <v/>
      </c>
      <c r="G20" s="122"/>
    </row>
    <row r="21" spans="1:7" x14ac:dyDescent="0.35">
      <c r="A21" s="138"/>
      <c r="B21" s="1"/>
      <c r="C21" s="107"/>
      <c r="D21" s="117"/>
      <c r="E21" s="214" t="str">
        <f>IF(OR(ISBLANK(C21),ISBLANK(D21)),"",D21*VLOOKUP((IF(OR(C21="Residential urban land",C21="Commercial/industrial urban land",C21="Open urban land",C21="Greenspace",C21="Community food growing",C21="Woodland",C21="Shrub", C21="Water"), "|||"&amp;C21, (VLOOKUP('Stage 2'!$E$9,Lookups!$C$179:$D$179,2,FALSE)&amp;"|"&amp;C21&amp;"|"&amp;VLOOKUP('Stage 2'!$E$12,Lookups!$C$193:$D$194,2,FALSE)&amp;"|"&amp;VLOOKUP('Stage 2'!$E$11,Lookups!$C$153:$E$175,3,FALSE)&amp;"|"&amp;VLOOKUP('Stage 2'!$E$10,Lookups!$C$184:$E$189,2,FALSE)))),Lookups!$H$23:$J$149,2,FALSE))</f>
        <v/>
      </c>
      <c r="F21" s="178" t="str">
        <f>IF(OR(ISBLANK(C21),ISBLANK(D21)),"",D21*VLOOKUP((IF(OR(C21="Residential urban land",C21="Commercial/industrial urban land",C21="Open urban land",C21="Greenspace",C21="Community food growing",C21="Woodland",C21="Shrub", C21="Water"), "|||"&amp;C21, (VLOOKUP('Stage 2'!$E$9,Lookups!$C$179:$D$179,2,FALSE)&amp;"|"&amp;C21&amp;"|"&amp;VLOOKUP('Stage 2'!$E$12,Lookups!$C$193:$D$194,2,FALSE)&amp;"|"&amp;VLOOKUP('Stage 2'!$E$11,Lookups!$C$153:$E$175,3,FALSE)&amp;"|"&amp;VLOOKUP('Stage 2'!$E$10,Lookups!$C$184:$E$189,2,FALSE)))),Lookups!$H$23:$J$149,3,FALSE))</f>
        <v/>
      </c>
      <c r="G21" s="122"/>
    </row>
    <row r="22" spans="1:7" x14ac:dyDescent="0.35">
      <c r="A22" s="138"/>
      <c r="B22" s="1"/>
      <c r="C22" s="107"/>
      <c r="D22" s="117"/>
      <c r="E22" s="214" t="str">
        <f>IF(OR(ISBLANK(C22),ISBLANK(D22)),"",D22*VLOOKUP((IF(OR(C22="Residential urban land",C22="Commercial/industrial urban land",C22="Open urban land",C22="Greenspace",C22="Community food growing",C22="Woodland",C22="Shrub", C22="Water"), "|||"&amp;C22, (VLOOKUP('Stage 2'!$E$9,Lookups!$C$179:$D$179,2,FALSE)&amp;"|"&amp;C22&amp;"|"&amp;VLOOKUP('Stage 2'!$E$12,Lookups!$C$193:$D$194,2,FALSE)&amp;"|"&amp;VLOOKUP('Stage 2'!$E$11,Lookups!$C$153:$E$175,3,FALSE)&amp;"|"&amp;VLOOKUP('Stage 2'!$E$10,Lookups!$C$184:$E$189,2,FALSE)))),Lookups!$H$23:$J$149,2,FALSE))</f>
        <v/>
      </c>
      <c r="F22" s="178" t="str">
        <f>IF(OR(ISBLANK(C22),ISBLANK(D22)),"",D22*VLOOKUP((IF(OR(C22="Residential urban land",C22="Commercial/industrial urban land",C22="Open urban land",C22="Greenspace",C22="Community food growing",C22="Woodland",C22="Shrub", C22="Water"), "|||"&amp;C22, (VLOOKUP('Stage 2'!$E$9,Lookups!$C$179:$D$179,2,FALSE)&amp;"|"&amp;C22&amp;"|"&amp;VLOOKUP('Stage 2'!$E$12,Lookups!$C$193:$D$194,2,FALSE)&amp;"|"&amp;VLOOKUP('Stage 2'!$E$11,Lookups!$C$153:$E$175,3,FALSE)&amp;"|"&amp;VLOOKUP('Stage 2'!$E$10,Lookups!$C$184:$E$189,2,FALSE)))),Lookups!$H$23:$J$149,3,FALSE))</f>
        <v/>
      </c>
      <c r="G22" s="122"/>
    </row>
    <row r="23" spans="1:7" x14ac:dyDescent="0.35">
      <c r="A23" s="138"/>
      <c r="B23" s="1"/>
      <c r="C23" s="107"/>
      <c r="D23" s="118"/>
      <c r="E23" s="214" t="str">
        <f>IF(OR(ISBLANK(C23),ISBLANK(D23)),"",D23*VLOOKUP((IF(OR(C23="Residential urban land",C23="Commercial/industrial urban land",C23="Open urban land",C23="Greenspace",C23="Community food growing",C23="Woodland",C23="Shrub", C23="Water"), "|||"&amp;C23, (VLOOKUP('Stage 2'!$E$9,Lookups!$C$179:$D$179,2,FALSE)&amp;"|"&amp;C23&amp;"|"&amp;VLOOKUP('Stage 2'!$E$12,Lookups!$C$193:$D$194,2,FALSE)&amp;"|"&amp;VLOOKUP('Stage 2'!$E$11,Lookups!$C$153:$E$175,3,FALSE)&amp;"|"&amp;VLOOKUP('Stage 2'!$E$10,Lookups!$C$184:$E$189,2,FALSE)))),Lookups!$H$23:$J$149,2,FALSE))</f>
        <v/>
      </c>
      <c r="F23" s="178" t="str">
        <f>IF(OR(ISBLANK(C23),ISBLANK(D23)),"",D23*VLOOKUP((IF(OR(C23="Residential urban land",C23="Commercial/industrial urban land",C23="Open urban land",C23="Greenspace",C23="Community food growing",C23="Woodland",C23="Shrub", C23="Water"), "|||"&amp;C23, (VLOOKUP('Stage 2'!$E$9,Lookups!$C$179:$D$179,2,FALSE)&amp;"|"&amp;C23&amp;"|"&amp;VLOOKUP('Stage 2'!$E$12,Lookups!$C$193:$D$194,2,FALSE)&amp;"|"&amp;VLOOKUP('Stage 2'!$E$11,Lookups!$C$153:$E$175,3,FALSE)&amp;"|"&amp;VLOOKUP('Stage 2'!$E$10,Lookups!$C$184:$E$189,2,FALSE)))),Lookups!$H$23:$J$149,3,FALSE))</f>
        <v/>
      </c>
      <c r="G23" s="122"/>
    </row>
    <row r="24" spans="1:7" x14ac:dyDescent="0.35">
      <c r="A24" s="138"/>
      <c r="B24" s="1"/>
      <c r="C24" s="107"/>
      <c r="D24" s="116"/>
      <c r="E24" s="214" t="str">
        <f>IF(OR(ISBLANK(C24),ISBLANK(D24)),"",D24*VLOOKUP((IF(OR(C24="Residential urban land",C24="Commercial/industrial urban land",C24="Open urban land",C24="Greenspace",C24="Community food growing",C24="Woodland",C24="Shrub", C24="Water"), "|||"&amp;C24, (VLOOKUP('Stage 2'!$E$9,Lookups!$C$179:$D$179,2,FALSE)&amp;"|"&amp;C24&amp;"|"&amp;VLOOKUP('Stage 2'!$E$12,Lookups!$C$193:$D$194,2,FALSE)&amp;"|"&amp;VLOOKUP('Stage 2'!$E$11,Lookups!$C$153:$E$175,3,FALSE)&amp;"|"&amp;VLOOKUP('Stage 2'!$E$10,Lookups!$C$184:$E$189,2,FALSE)))),Lookups!$H$23:$J$149,2,FALSE))</f>
        <v/>
      </c>
      <c r="F24" s="178" t="str">
        <f>IF(OR(ISBLANK(C24),ISBLANK(D24)),"",D24*VLOOKUP((IF(OR(C24="Residential urban land",C24="Commercial/industrial urban land",C24="Open urban land",C24="Greenspace",C24="Community food growing",C24="Woodland",C24="Shrub", C24="Water"), "|||"&amp;C24, (VLOOKUP('Stage 2'!$E$9,Lookups!$C$179:$D$179,2,FALSE)&amp;"|"&amp;C24&amp;"|"&amp;VLOOKUP('Stage 2'!$E$12,Lookups!$C$193:$D$194,2,FALSE)&amp;"|"&amp;VLOOKUP('Stage 2'!$E$11,Lookups!$C$153:$E$175,3,FALSE)&amp;"|"&amp;VLOOKUP('Stage 2'!$E$10,Lookups!$C$184:$E$189,2,FALSE)))),Lookups!$H$23:$J$149,3,FALSE))</f>
        <v/>
      </c>
      <c r="G24" s="122"/>
    </row>
    <row r="25" spans="1:7" x14ac:dyDescent="0.35">
      <c r="A25" s="138"/>
      <c r="B25" s="1"/>
      <c r="C25" s="107"/>
      <c r="D25" s="116"/>
      <c r="E25" s="214" t="str">
        <f>IF(OR(ISBLANK(C25),ISBLANK(D25)),"",D25*VLOOKUP((IF(OR(C25="Residential urban land",C25="Commercial/industrial urban land",C25="Open urban land",C25="Greenspace",C25="Community food growing",C25="Woodland",C25="Shrub", C25="Water"), "|||"&amp;C25, (VLOOKUP('Stage 2'!$E$9,Lookups!$C$179:$D$179,2,FALSE)&amp;"|"&amp;C25&amp;"|"&amp;VLOOKUP('Stage 2'!$E$12,Lookups!$C$193:$D$194,2,FALSE)&amp;"|"&amp;VLOOKUP('Stage 2'!$E$11,Lookups!$C$153:$E$175,3,FALSE)&amp;"|"&amp;VLOOKUP('Stage 2'!$E$10,Lookups!$C$184:$E$189,2,FALSE)))),Lookups!$H$23:$J$149,2,FALSE))</f>
        <v/>
      </c>
      <c r="F25" s="178" t="str">
        <f>IF(OR(ISBLANK(C25),ISBLANK(D25)),"",D25*VLOOKUP((IF(OR(C25="Residential urban land",C25="Commercial/industrial urban land",C25="Open urban land",C25="Greenspace",C25="Community food growing",C25="Woodland",C25="Shrub", C25="Water"), "|||"&amp;C25, (VLOOKUP('Stage 2'!$E$9,Lookups!$C$179:$D$179,2,FALSE)&amp;"|"&amp;C25&amp;"|"&amp;VLOOKUP('Stage 2'!$E$12,Lookups!$C$193:$D$194,2,FALSE)&amp;"|"&amp;VLOOKUP('Stage 2'!$E$11,Lookups!$C$153:$E$175,3,FALSE)&amp;"|"&amp;VLOOKUP('Stage 2'!$E$10,Lookups!$C$184:$E$189,2,FALSE)))),Lookups!$H$23:$J$149,3,FALSE))</f>
        <v/>
      </c>
      <c r="G25" s="122"/>
    </row>
    <row r="26" spans="1:7" ht="15" thickBot="1" x14ac:dyDescent="0.4">
      <c r="A26" s="138"/>
      <c r="B26" s="1"/>
      <c r="C26" s="119"/>
      <c r="D26" s="120"/>
      <c r="E26" s="192" t="str">
        <f>IF(OR(ISBLANK(C26),ISBLANK(D26)),"",D26*VLOOKUP((IF(OR(C26="Residential urban land",C26="Commercial/industrial urban land",C26="Open urban land",C26="Greenspace",C26="Community food growing",C26="Woodland",C26="Shrub", C26="Water"), "|||"&amp;C26, (VLOOKUP('Stage 2'!$E$9,Lookups!$C$179:$D$179,2,FALSE)&amp;"|"&amp;C26&amp;"|"&amp;VLOOKUP('Stage 2'!$E$12,Lookups!$C$193:$D$194,2,FALSE)&amp;"|"&amp;VLOOKUP('Stage 2'!$E$11,Lookups!$C$153:$E$175,3,FALSE)&amp;"|"&amp;VLOOKUP('Stage 2'!$E$10,Lookups!$C$184:$E$189,2,FALSE)))),Lookups!$H$23:$J$149,2,FALSE))</f>
        <v/>
      </c>
      <c r="F26" s="215" t="str">
        <f>IF(OR(ISBLANK(C26),ISBLANK(D26)),"",D26*VLOOKUP((IF(OR(C26="Residential urban land",C26="Commercial/industrial urban land",C26="Open urban land",C26="Greenspace",C26="Community food growing",C26="Woodland",C26="Shrub", C26="Water"), "|||"&amp;C26, (VLOOKUP('Stage 2'!$E$9,Lookups!$C$179:$D$179,2,FALSE)&amp;"|"&amp;C26&amp;"|"&amp;VLOOKUP('Stage 2'!$E$12,Lookups!$C$193:$D$194,2,FALSE)&amp;"|"&amp;VLOOKUP('Stage 2'!$E$11,Lookups!$C$153:$E$175,3,FALSE)&amp;"|"&amp;VLOOKUP('Stage 2'!$E$10,Lookups!$C$184:$E$189,2,FALSE)))),Lookups!$H$23:$J$149,3,FALSE))</f>
        <v/>
      </c>
      <c r="G26" s="122"/>
    </row>
    <row r="27" spans="1:7" x14ac:dyDescent="0.35">
      <c r="A27" s="138"/>
      <c r="B27" s="1"/>
      <c r="C27" s="72" t="s">
        <v>112</v>
      </c>
      <c r="D27" s="130">
        <f>SUM(D10:D26)</f>
        <v>0</v>
      </c>
      <c r="E27" s="101">
        <f>SUM(E10:E26)</f>
        <v>0</v>
      </c>
      <c r="F27" s="102">
        <f>SUM(F10:F26)</f>
        <v>0</v>
      </c>
      <c r="G27" s="122"/>
    </row>
    <row r="28" spans="1:7" ht="15" thickBot="1" x14ac:dyDescent="0.4">
      <c r="A28" s="138"/>
      <c r="B28" s="148"/>
      <c r="C28" s="135"/>
      <c r="D28" s="135"/>
      <c r="E28" s="135"/>
      <c r="F28" s="135"/>
      <c r="G28" s="136"/>
    </row>
    <row r="29" spans="1:7" ht="15" thickTop="1" x14ac:dyDescent="0.35"/>
  </sheetData>
  <sheetProtection algorithmName="SHA-512" hashValue="L5GXbnqNrV4M4mWayohpRkQwrY1s8jqjAve4vRbA/gLoodMdRs4lwHtlakzSQd7xi0tK06DpfsGMgxaBmKsm/Q==" saltValue="wTi8zO4JTdZr8lTFDAzQCQ=="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165" yWindow="453" count="1">
    <dataValidation allowBlank="1" showInputMessage="1" showErrorMessage="1" prompt="Please enter area in hectares." sqref="D10:D2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65" yWindow="453" count="1">
        <x14:dataValidation type="list" allowBlank="1" showInputMessage="1" showErrorMessage="1" errorTitle="Landcover" error="Please select all pre exisitng landcover types." prompt="Select exisiting (post-development) land use types from the drop down list.">
          <x14:formula1>
            <xm:f>Lookups!$G$188:$G$195</xm:f>
          </x14:formula1>
          <xm:sqref>C10:C26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3"/>
  <sheetViews>
    <sheetView showRowColHeaders="0" zoomScaleNormal="100" workbookViewId="0">
      <selection activeCell="G28" sqref="G28:G31"/>
    </sheetView>
  </sheetViews>
  <sheetFormatPr defaultColWidth="9.1796875" defaultRowHeight="14.5" x14ac:dyDescent="0.35"/>
  <cols>
    <col min="1" max="1" width="9.1796875" style="137"/>
    <col min="2" max="2" width="4.81640625" style="137" customWidth="1"/>
    <col min="3" max="3" width="30.453125" style="137" customWidth="1"/>
    <col min="4" max="4" width="26.81640625" style="137" customWidth="1"/>
    <col min="5" max="5" width="9.1796875" style="137"/>
    <col min="6" max="6" width="22.1796875" style="137" customWidth="1"/>
    <col min="7" max="7" width="23.26953125" style="137" customWidth="1"/>
    <col min="8" max="10" width="9.1796875" style="137"/>
    <col min="11" max="11" width="7.1796875" style="137" customWidth="1"/>
    <col min="12" max="16384" width="9.1796875" style="137"/>
  </cols>
  <sheetData>
    <row r="2" spans="2:12" ht="15" thickBot="1" x14ac:dyDescent="0.4"/>
    <row r="3" spans="2:12" ht="15" thickTop="1" x14ac:dyDescent="0.35">
      <c r="B3" s="262" t="s">
        <v>116</v>
      </c>
      <c r="C3" s="263"/>
      <c r="D3" s="263"/>
      <c r="E3" s="263"/>
      <c r="F3" s="263"/>
      <c r="G3" s="263"/>
      <c r="H3" s="264"/>
    </row>
    <row r="4" spans="2:12" x14ac:dyDescent="0.35">
      <c r="B4" s="252"/>
      <c r="C4" s="253"/>
      <c r="D4" s="253"/>
      <c r="E4" s="253"/>
      <c r="F4" s="253"/>
      <c r="G4" s="253"/>
      <c r="H4" s="254"/>
    </row>
    <row r="5" spans="2:12" x14ac:dyDescent="0.35">
      <c r="B5" s="252"/>
      <c r="C5" s="253"/>
      <c r="D5" s="253"/>
      <c r="E5" s="253"/>
      <c r="F5" s="253"/>
      <c r="G5" s="253"/>
      <c r="H5" s="254"/>
    </row>
    <row r="6" spans="2:12" ht="16.5" x14ac:dyDescent="0.35">
      <c r="B6" s="132"/>
      <c r="C6" s="1"/>
      <c r="D6" s="1"/>
      <c r="E6" s="1"/>
      <c r="F6" s="1"/>
      <c r="G6" s="1"/>
      <c r="H6" s="122"/>
      <c r="L6" s="140"/>
    </row>
    <row r="7" spans="2:12" ht="17.5" x14ac:dyDescent="0.35">
      <c r="B7" s="132"/>
      <c r="C7" s="261" t="s">
        <v>117</v>
      </c>
      <c r="D7" s="261"/>
      <c r="E7" s="1"/>
      <c r="F7" s="1"/>
      <c r="G7" s="1"/>
      <c r="H7" s="122"/>
      <c r="L7" s="140"/>
    </row>
    <row r="8" spans="2:12" ht="18" hidden="1" customHeight="1" x14ac:dyDescent="0.5">
      <c r="B8" s="132"/>
      <c r="C8" s="1"/>
      <c r="D8" s="1"/>
      <c r="E8" s="1"/>
      <c r="F8" s="1"/>
      <c r="G8" s="1"/>
      <c r="H8" s="164"/>
      <c r="I8" s="167"/>
      <c r="J8" s="168"/>
      <c r="L8" s="142"/>
    </row>
    <row r="9" spans="2:12" ht="12" hidden="1" customHeight="1" x14ac:dyDescent="0.5">
      <c r="B9" s="132"/>
      <c r="C9" s="1"/>
      <c r="D9" s="1"/>
      <c r="E9" s="1"/>
      <c r="F9" s="1"/>
      <c r="G9" s="1"/>
      <c r="H9" s="165"/>
      <c r="I9" s="169"/>
      <c r="J9" s="170"/>
      <c r="L9" s="142"/>
    </row>
    <row r="10" spans="2:12" ht="17" hidden="1" thickBot="1" x14ac:dyDescent="0.55000000000000004">
      <c r="B10" s="132"/>
      <c r="C10" s="69" t="s">
        <v>118</v>
      </c>
      <c r="D10" s="96" t="str">
        <f>'Stage 1'!D29</f>
        <v/>
      </c>
      <c r="E10" s="22"/>
      <c r="F10" s="1"/>
      <c r="G10" s="1"/>
      <c r="H10" s="165"/>
      <c r="I10" s="169"/>
      <c r="J10" s="170"/>
      <c r="L10" s="142"/>
    </row>
    <row r="11" spans="2:12" ht="21" hidden="1" customHeight="1" thickBot="1" x14ac:dyDescent="0.55000000000000004">
      <c r="B11" s="132"/>
      <c r="C11" s="70" t="s">
        <v>119</v>
      </c>
      <c r="D11" s="97">
        <f>'Stage 3'!E27-'Stage 2'!E32</f>
        <v>0</v>
      </c>
      <c r="E11" s="24"/>
      <c r="F11" s="1"/>
      <c r="G11" s="1"/>
      <c r="H11" s="165"/>
      <c r="I11" s="171"/>
      <c r="J11" s="170"/>
      <c r="K11" s="140"/>
      <c r="L11" s="143"/>
    </row>
    <row r="12" spans="2:12" ht="17" hidden="1" thickBot="1" x14ac:dyDescent="0.4">
      <c r="B12" s="132"/>
      <c r="C12" s="70" t="s">
        <v>120</v>
      </c>
      <c r="D12" s="66" t="e">
        <f>D10+D11</f>
        <v>#VALUE!</v>
      </c>
      <c r="E12" s="25"/>
      <c r="F12" s="1"/>
      <c r="G12" s="1"/>
      <c r="H12" s="145"/>
      <c r="I12" s="172"/>
      <c r="J12" s="142"/>
      <c r="K12" s="142"/>
      <c r="L12" s="143"/>
    </row>
    <row r="13" spans="2:12" ht="29.25" hidden="1" customHeight="1" x14ac:dyDescent="0.35">
      <c r="B13" s="132"/>
      <c r="C13" s="15" t="s">
        <v>121</v>
      </c>
      <c r="D13" s="98" t="e">
        <f>D12*1.2</f>
        <v>#VALUE!</v>
      </c>
      <c r="E13" s="26"/>
      <c r="F13" s="1"/>
      <c r="G13" s="1"/>
      <c r="H13" s="147"/>
      <c r="I13" s="173"/>
      <c r="J13" s="143"/>
      <c r="K13" s="143"/>
    </row>
    <row r="14" spans="2:12" ht="11.25" hidden="1" customHeight="1" x14ac:dyDescent="0.35">
      <c r="B14" s="132"/>
      <c r="C14" s="22"/>
      <c r="D14" s="166"/>
      <c r="E14" s="22"/>
      <c r="F14" s="1"/>
      <c r="G14" s="1"/>
      <c r="H14" s="122"/>
    </row>
    <row r="15" spans="2:12" hidden="1" x14ac:dyDescent="0.35">
      <c r="B15" s="132"/>
      <c r="C15" s="22"/>
      <c r="D15" s="166"/>
      <c r="E15" s="22"/>
      <c r="F15" s="1"/>
      <c r="G15" s="1"/>
      <c r="H15" s="122"/>
    </row>
    <row r="16" spans="2:12" ht="15" hidden="1" thickBot="1" x14ac:dyDescent="0.4">
      <c r="B16" s="132"/>
      <c r="C16" s="69" t="s">
        <v>122</v>
      </c>
      <c r="D16" s="96" t="str">
        <f>'Stage 1'!D34</f>
        <v/>
      </c>
      <c r="E16" s="22"/>
      <c r="F16" s="1"/>
      <c r="G16" s="1"/>
      <c r="H16" s="122"/>
    </row>
    <row r="17" spans="2:8" ht="15" hidden="1" thickBot="1" x14ac:dyDescent="0.4">
      <c r="B17" s="132"/>
      <c r="C17" s="70" t="s">
        <v>123</v>
      </c>
      <c r="D17" s="99">
        <f>'Stage 3'!F27-'Stage 2'!F32</f>
        <v>0</v>
      </c>
      <c r="E17" s="22"/>
      <c r="F17" s="1"/>
      <c r="G17" s="1"/>
      <c r="H17" s="122"/>
    </row>
    <row r="18" spans="2:8" ht="15" hidden="1" thickBot="1" x14ac:dyDescent="0.4">
      <c r="B18" s="132"/>
      <c r="C18" s="68" t="s">
        <v>124</v>
      </c>
      <c r="D18" s="86" t="e">
        <f>D16+D17</f>
        <v>#VALUE!</v>
      </c>
      <c r="E18" s="18"/>
      <c r="F18" s="1"/>
      <c r="G18" s="1"/>
      <c r="H18" s="122"/>
    </row>
    <row r="19" spans="2:8" hidden="1" x14ac:dyDescent="0.35">
      <c r="B19" s="132"/>
      <c r="C19" s="15" t="s">
        <v>125</v>
      </c>
      <c r="D19" s="98" t="e">
        <f>D18*1.2</f>
        <v>#VALUE!</v>
      </c>
      <c r="E19" s="18"/>
      <c r="F19" s="1"/>
      <c r="G19" s="1"/>
      <c r="H19" s="122"/>
    </row>
    <row r="20" spans="2:8" ht="16.5" x14ac:dyDescent="0.35">
      <c r="B20" s="132"/>
      <c r="C20" s="9"/>
      <c r="D20" s="11"/>
      <c r="E20" s="12"/>
      <c r="F20" s="1"/>
      <c r="G20" s="1"/>
      <c r="H20" s="122"/>
    </row>
    <row r="21" spans="2:8" ht="24.75" customHeight="1" x14ac:dyDescent="0.35">
      <c r="B21" s="132"/>
      <c r="C21" s="265" t="str">
        <f>IFERROR(IF(AND('Stage 1'!$D$9&lt;DATE(2025,1,1),OR((VLOOKUP('Stage 1'!$D$13,Lookups!$C$8:$G$17,2,FALSE))&gt;(VLOOKUP('Stage 1'!$D$13,Lookups!$C$8:$G$17,4,FALSE)),(VLOOKUP('Stage 1'!$D$13,Lookups!$C$8:$G$17,3,FALSE))&gt;(VLOOKUP('Stage 1'!$D$13,Lookups!$C$8:$G$17,5,FALSE)))),"Post-2025 Annual Nutrient Budget","Annual Nutrient Budget"),"")</f>
        <v/>
      </c>
      <c r="D21" s="265"/>
      <c r="E21" s="12"/>
      <c r="F21" s="265" t="str">
        <f>IFERROR(IF(AND('Stage 1'!$D$9&lt;DATE(2025,1,1),OR((VLOOKUP('Stage 1'!$D$13,Lookups!$C$8:$G$17,2,FALSE))&gt;(VLOOKUP('Stage 1'!$D$13,Lookups!$C$8:$G$17,4,FALSE)),(VLOOKUP('Stage 1'!$D$13,Lookups!$C$8:$G$17,3,FALSE))&gt;(VLOOKUP('Stage 1'!$D$13,Lookups!$C$8:$G$17,5,FALSE)))),"Pre-2025 Annual Nutrient Budget",""),"")</f>
        <v/>
      </c>
      <c r="G21" s="265"/>
      <c r="H21" s="122"/>
    </row>
    <row r="22" spans="2:8" ht="15" customHeight="1" x14ac:dyDescent="0.35">
      <c r="B22" s="132"/>
      <c r="C22" s="266" t="s">
        <v>126</v>
      </c>
      <c r="D22" s="268" t="e">
        <f>IF(ROUND(D13,2)&lt;0,0&amp;" kg TP/year",ROUND(D13,2)&amp;" kg TP/year")</f>
        <v>#VALUE!</v>
      </c>
      <c r="E22" s="1"/>
      <c r="F22" s="266" t="str">
        <f>IFERROR(IF(AND('Stage 1'!$D$9&lt;DATE(2025,1,1),OR((VLOOKUP('Stage 1'!$D$13,Lookups!$C$8:$G$17,2,FALSE))&gt;(VLOOKUP('Stage 1'!$D$13,Lookups!$C$8:$G$17,4,FALSE)),(VLOOKUP('Stage 1'!$D$13,Lookups!$C$8:$G$17,3,FALSE))&gt;(VLOOKUP('Stage 1'!$D$13,Lookups!$C$8:$G$17,5,FALSE)))),"The pre-2025 annual phosphorus load to mitigate is:",""),"")</f>
        <v/>
      </c>
      <c r="G22" s="267" t="str">
        <f>IFERROR(IF(AND('Stage 1'!$D$9&lt;DATE(2025,1,1),OR((VLOOKUP('Stage 1'!$D$13,Lookups!$C$8:$G$17,2,FALSE))&gt;(VLOOKUP('Stage 1'!$D$13,Lookups!$C$8:$G$17,4,FALSE)),(VLOOKUP('Stage 1'!$D$13,Lookups!$C$8:$G$17,3,FALSE))&gt;(VLOOKUP('Stage 1'!$D$13,Lookups!$C$8:$G$17,5,FALSE)))),IF(ROUND(('Stage 3'!E27-'Stage 2'!E32+'Stage 1'!H22)*1.2,2)&lt;0,0&amp;" kg TP/year",ROUND(('Stage 3'!E27-'Stage 2'!E32+'Stage 1'!H22)*1.2,2)&amp;" kg TP/year"),""),"")</f>
        <v/>
      </c>
      <c r="H22" s="122"/>
    </row>
    <row r="23" spans="2:8" ht="15" customHeight="1" x14ac:dyDescent="0.35">
      <c r="B23" s="132"/>
      <c r="C23" s="266"/>
      <c r="D23" s="268"/>
      <c r="E23" s="1"/>
      <c r="F23" s="266"/>
      <c r="G23" s="267"/>
      <c r="H23" s="122"/>
    </row>
    <row r="24" spans="2:8" ht="15" customHeight="1" x14ac:dyDescent="0.35">
      <c r="B24" s="132"/>
      <c r="C24" s="266"/>
      <c r="D24" s="268"/>
      <c r="E24" s="1"/>
      <c r="F24" s="266"/>
      <c r="G24" s="267"/>
      <c r="H24" s="122"/>
    </row>
    <row r="25" spans="2:8" ht="15" customHeight="1" x14ac:dyDescent="0.35">
      <c r="B25" s="132"/>
      <c r="C25" s="266"/>
      <c r="D25" s="268"/>
      <c r="E25" s="1"/>
      <c r="F25" s="266"/>
      <c r="G25" s="267"/>
      <c r="H25" s="122"/>
    </row>
    <row r="26" spans="2:8" ht="15" customHeight="1" x14ac:dyDescent="0.35">
      <c r="B26" s="132"/>
      <c r="C26" s="22"/>
      <c r="D26" s="55"/>
      <c r="E26" s="1"/>
      <c r="F26" s="1"/>
      <c r="G26" s="1"/>
      <c r="H26" s="122"/>
    </row>
    <row r="27" spans="2:8" x14ac:dyDescent="0.35">
      <c r="B27" s="132"/>
      <c r="C27" s="22"/>
      <c r="D27" s="55"/>
      <c r="E27" s="1"/>
      <c r="F27" s="82"/>
      <c r="G27" s="1"/>
      <c r="H27" s="122"/>
    </row>
    <row r="28" spans="2:8" ht="15" customHeight="1" x14ac:dyDescent="0.35">
      <c r="B28" s="132"/>
      <c r="C28" s="266" t="s">
        <v>127</v>
      </c>
      <c r="D28" s="268" t="e">
        <f>IF(ROUND(D19,2)&lt;0,0&amp;" kg TN/year",ROUND(D19,2)&amp;" kg TN/year")</f>
        <v>#VALUE!</v>
      </c>
      <c r="E28" s="1"/>
      <c r="F28" s="82"/>
      <c r="G28" s="267" t="str">
        <f>IFERROR(IF(AND('Stage 1'!$D$9&lt;DATE(2025,1,1),OR((VLOOKUP('Stage 1'!$D$13,Lookups!$C$8:$G$17,2,FALSE))&gt;(VLOOKUP('Stage 1'!$D$13,Lookups!$C$8:$G$17,4,FALSE)),(VLOOKUP('Stage 1'!$D$13,Lookups!$C$8:$G$17,3,FALSE))&gt;(VLOOKUP('Stage 1'!$D$13,Lookups!$C$8:$G$17,5,FALSE)))),IF(ROUND(('Stage 3'!F27-'Stage 2'!F32+'Stage 1'!H23)*1.2,2)&lt;0,0&amp;" kg TN/year",ROUND(('Stage 3'!F27-'Stage 2'!F32+'Stage 1'!H23)*1.2,2)&amp;" kg TN/year"),""),"")</f>
        <v/>
      </c>
      <c r="H28" s="122"/>
    </row>
    <row r="29" spans="2:8" ht="15.75" customHeight="1" x14ac:dyDescent="0.35">
      <c r="B29" s="132"/>
      <c r="C29" s="266"/>
      <c r="D29" s="268"/>
      <c r="E29" s="1"/>
      <c r="F29" s="266" t="str">
        <f>IFERROR(IF(AND('Stage 1'!$D$9&lt;DATE(2025,1,1),OR((VLOOKUP('Stage 1'!$D$13,Lookups!$C$8:$G$17,2,FALSE))&gt;(VLOOKUP('Stage 1'!$D$13,Lookups!$C$8:$G$17,4,FALSE)),(VLOOKUP('Stage 1'!$D$13,Lookups!$C$8:$G$17,3,FALSE))&gt;(VLOOKUP('Stage 1'!$D$13,Lookups!$C$8:$G$17,5,FALSE)))),"The pre-2025 annual nitrogen load to mitigate is:",""),"")</f>
        <v/>
      </c>
      <c r="G29" s="267"/>
      <c r="H29" s="122"/>
    </row>
    <row r="30" spans="2:8" ht="15" customHeight="1" x14ac:dyDescent="0.35">
      <c r="B30" s="132"/>
      <c r="C30" s="266"/>
      <c r="D30" s="268"/>
      <c r="E30" s="1"/>
      <c r="F30" s="266"/>
      <c r="G30" s="267"/>
      <c r="H30" s="122"/>
    </row>
    <row r="31" spans="2:8" ht="15.75" customHeight="1" x14ac:dyDescent="0.35">
      <c r="B31" s="132"/>
      <c r="C31" s="266"/>
      <c r="D31" s="268"/>
      <c r="E31" s="1"/>
      <c r="F31" s="266"/>
      <c r="G31" s="267"/>
      <c r="H31" s="122"/>
    </row>
    <row r="32" spans="2:8" ht="15" thickBot="1" x14ac:dyDescent="0.4">
      <c r="B32" s="148"/>
      <c r="C32" s="135"/>
      <c r="D32" s="135"/>
      <c r="E32" s="135"/>
      <c r="F32" s="135"/>
      <c r="G32" s="135"/>
      <c r="H32" s="136"/>
    </row>
    <row r="33" ht="15" thickTop="1" x14ac:dyDescent="0.35"/>
  </sheetData>
  <sheetProtection algorithmName="SHA-512" hashValue="6dtoweUoGbEZg1gGpJ9zGBAaqpdySUp59/42n771eDLJH8gNGyMoJe2ivGqa2uBOnWbqB1jU/raN0zDVJ97yDQ==" saltValue="Wo3NnMW6SMLsni6bD3VQkg==" spinCount="100000" sheet="1" selectLockedCells="1" selectUnlockedCells="1"/>
  <mergeCells count="12">
    <mergeCell ref="B3:H5"/>
    <mergeCell ref="C7:D7"/>
    <mergeCell ref="F21:G21"/>
    <mergeCell ref="F22:F25"/>
    <mergeCell ref="F29:F31"/>
    <mergeCell ref="G22:G25"/>
    <mergeCell ref="G28:G31"/>
    <mergeCell ref="C22:C25"/>
    <mergeCell ref="C28:C31"/>
    <mergeCell ref="D22:D25"/>
    <mergeCell ref="D28:D31"/>
    <mergeCell ref="C21:D2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2360E-6C77-4893-9CAB-CD13CA6F35A0}">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662745e8-e224-48e8-a2e3-254862b8c2f5"/>
    <ds:schemaRef ds:uri="http://purl.org/dc/elements/1.1/"/>
    <ds:schemaRef ds:uri="http://schemas.microsoft.com/office/2006/metadata/properties"/>
    <ds:schemaRef ds:uri="41b1b97e-58d0-4f82-aacc-4a7d6fa43521"/>
    <ds:schemaRef ds:uri="50608f39-3744-4f2b-8ddf-6077ea9dcf84"/>
    <ds:schemaRef ds:uri="http://www.w3.org/XML/1998/namespace"/>
  </ds:schemaRefs>
</ds:datastoreItem>
</file>

<file path=customXml/itemProps2.xml><?xml version="1.0" encoding="utf-8"?>
<ds:datastoreItem xmlns:ds="http://schemas.openxmlformats.org/officeDocument/2006/customXml" ds:itemID="{739BE632-A302-4B89-897F-BA3F1878D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526F3-48F5-4E43-981C-6FF536818F8E}">
  <ds:schemaRefs>
    <ds:schemaRef ds:uri="Microsoft.SharePoint.Taxonomy.ContentTypeSync"/>
  </ds:schemaRefs>
</ds:datastoreItem>
</file>

<file path=customXml/itemProps4.xml><?xml version="1.0" encoding="utf-8"?>
<ds:datastoreItem xmlns:ds="http://schemas.openxmlformats.org/officeDocument/2006/customXml" ds:itemID="{FF7F30E4-48CF-4FFE-AE2F-D63545BF13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River Clun SAC</vt:lpstr>
      <vt:lpstr>Instructions</vt:lpstr>
      <vt:lpstr>Development site details</vt:lpstr>
      <vt:lpstr>Stage 1</vt:lpstr>
      <vt:lpstr>Stage 2</vt:lpstr>
      <vt:lpstr>Stage 3</vt:lpstr>
      <vt:lpstr>Stage 4</vt:lpstr>
      <vt:lpstr>Stage 4 (2)</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River Clun Nutrient neutrality budget calculator</dc:title>
  <dc:subject>Planning</dc:subject>
  <dc:creator>Sealy, Declan</dc:creator>
  <cp:keywords>River Clun</cp:keywords>
  <dc:description/>
  <cp:lastModifiedBy>Harris, Susan</cp:lastModifiedBy>
  <cp:revision/>
  <dcterms:created xsi:type="dcterms:W3CDTF">2021-10-14T13:24:34Z</dcterms:created>
  <dcterms:modified xsi:type="dcterms:W3CDTF">2022-06-21T17:32:00Z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ies>
</file>